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autoCompressPictures="0"/>
  <mc:AlternateContent xmlns:mc="http://schemas.openxmlformats.org/markup-compatibility/2006">
    <mc:Choice Requires="x15">
      <x15ac:absPath xmlns:x15ac="http://schemas.microsoft.com/office/spreadsheetml/2010/11/ac" url="L:\RoHS REACH ITAR Conflict Min etc\Conflict Minerals\"/>
    </mc:Choice>
  </mc:AlternateContent>
  <xr:revisionPtr revIDLastSave="0" documentId="13_ncr:1_{02DED6BD-7A79-4F62-A935-2F0DF09A0D08}"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830" yWindow="1275" windowWidth="25530" windowHeight="1417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6" i="5" l="1"/>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V6" i="5"/>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F69" i="6" s="1"/>
  <c r="C69" i="6" s="1"/>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X9" i="5"/>
  <c r="V10" i="5"/>
  <c r="X10" i="5"/>
  <c r="V11" i="5"/>
  <c r="X11" i="5"/>
  <c r="V12" i="5"/>
  <c r="X12" i="5"/>
  <c r="V13" i="5"/>
  <c r="X13" i="5"/>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V31" i="5"/>
  <c r="E31" i="5"/>
  <c r="X31" i="5" s="1"/>
  <c r="V32" i="5"/>
  <c r="E32" i="5"/>
  <c r="X32" i="5" s="1"/>
  <c r="V33" i="5"/>
  <c r="E33" i="5"/>
  <c r="X33" i="5" s="1"/>
  <c r="V34" i="5"/>
  <c r="E34" i="5"/>
  <c r="X34" i="5" s="1"/>
  <c r="V35" i="5"/>
  <c r="E35" i="5"/>
  <c r="X35" i="5" s="1"/>
  <c r="V36" i="5"/>
  <c r="E36" i="5"/>
  <c r="V37" i="5"/>
  <c r="E37" i="5"/>
  <c r="X37" i="5" s="1"/>
  <c r="V38" i="5"/>
  <c r="E38" i="5"/>
  <c r="X38" i="5" s="1"/>
  <c r="V39" i="5"/>
  <c r="E39" i="5"/>
  <c r="X39" i="5" s="1"/>
  <c r="V40" i="5"/>
  <c r="E40" i="5"/>
  <c r="X40" i="5" s="1"/>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X52" i="5" s="1"/>
  <c r="V53" i="5"/>
  <c r="E53" i="5"/>
  <c r="X53" i="5" s="1"/>
  <c r="V54" i="5"/>
  <c r="E54" i="5"/>
  <c r="X54" i="5" s="1"/>
  <c r="V55" i="5"/>
  <c r="E55" i="5"/>
  <c r="X55" i="5" s="1"/>
  <c r="V56" i="5"/>
  <c r="E56" i="5"/>
  <c r="V57" i="5"/>
  <c r="E57" i="5"/>
  <c r="X57" i="5" s="1"/>
  <c r="V58" i="5"/>
  <c r="E58" i="5"/>
  <c r="X58" i="5" s="1"/>
  <c r="V59" i="5"/>
  <c r="E59" i="5"/>
  <c r="X59" i="5" s="1"/>
  <c r="V60" i="5"/>
  <c r="E60" i="5"/>
  <c r="X60" i="5" s="1"/>
  <c r="V61" i="5"/>
  <c r="V62" i="5"/>
  <c r="V63" i="5"/>
  <c r="E63" i="5"/>
  <c r="X63" i="5" s="1"/>
  <c r="V64" i="5"/>
  <c r="E64" i="5"/>
  <c r="X64" i="5" s="1"/>
  <c r="V65" i="5"/>
  <c r="E65" i="5"/>
  <c r="X65" i="5" s="1"/>
  <c r="V66" i="5"/>
  <c r="E66" i="5"/>
  <c r="X66" i="5" s="1"/>
  <c r="V67" i="5"/>
  <c r="E67" i="5"/>
  <c r="X67" i="5" s="1"/>
  <c r="V68" i="5"/>
  <c r="E68" i="5"/>
  <c r="X68" i="5" s="1"/>
  <c r="V69" i="5"/>
  <c r="E69" i="5"/>
  <c r="X69" i="5" s="1"/>
  <c r="V70" i="5"/>
  <c r="E70" i="5"/>
  <c r="X70" i="5" s="1"/>
  <c r="V71" i="5"/>
  <c r="H71" i="5"/>
  <c r="E71" i="5"/>
  <c r="X71" i="5" s="1"/>
  <c r="V72" i="5"/>
  <c r="E72" i="5"/>
  <c r="X72" i="5" s="1"/>
  <c r="V73" i="5"/>
  <c r="E73" i="5"/>
  <c r="X73" i="5" s="1"/>
  <c r="V74" i="5"/>
  <c r="E74" i="5"/>
  <c r="X74" i="5" s="1"/>
  <c r="V75" i="5"/>
  <c r="E75" i="5"/>
  <c r="X75" i="5" s="1"/>
  <c r="V76" i="5"/>
  <c r="E76" i="5"/>
  <c r="X76" i="5" s="1"/>
  <c r="V77" i="5"/>
  <c r="E77" i="5"/>
  <c r="X77" i="5" s="1"/>
  <c r="V78" i="5"/>
  <c r="V79" i="5"/>
  <c r="E79" i="5"/>
  <c r="X79" i="5" s="1"/>
  <c r="V80" i="5"/>
  <c r="E80" i="5"/>
  <c r="X80" i="5" s="1"/>
  <c r="V81" i="5"/>
  <c r="E81" i="5"/>
  <c r="X81" i="5" s="1"/>
  <c r="V82" i="5"/>
  <c r="E82" i="5"/>
  <c r="X82" i="5" s="1"/>
  <c r="V83" i="5"/>
  <c r="E83" i="5"/>
  <c r="X83" i="5" s="1"/>
  <c r="V84" i="5"/>
  <c r="E84" i="5"/>
  <c r="X84" i="5" s="1"/>
  <c r="V85" i="5"/>
  <c r="E85" i="5"/>
  <c r="X85" i="5" s="1"/>
  <c r="V86" i="5"/>
  <c r="E86" i="5"/>
  <c r="X86" i="5" s="1"/>
  <c r="V87" i="5"/>
  <c r="V88" i="5"/>
  <c r="E88" i="5"/>
  <c r="X88" i="5" s="1"/>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G10" i="6" s="1"/>
  <c r="H10" i="6" s="1"/>
  <c r="D10" i="6" s="1"/>
  <c r="B9" i="6"/>
  <c r="B63" i="6"/>
  <c r="G63" i="6" s="1"/>
  <c r="B62" i="6"/>
  <c r="G62" i="6" s="1"/>
  <c r="B60" i="6"/>
  <c r="G60" i="6" s="1"/>
  <c r="B59" i="6"/>
  <c r="G59" i="6"/>
  <c r="B58" i="6"/>
  <c r="G58" i="6" s="1"/>
  <c r="B57" i="6"/>
  <c r="G57" i="6" s="1"/>
  <c r="B56" i="6"/>
  <c r="G56" i="6"/>
  <c r="B55" i="6"/>
  <c r="G55" i="6" s="1"/>
  <c r="B54" i="6"/>
  <c r="G54" i="6"/>
  <c r="B17" i="6"/>
  <c r="B16" i="6"/>
  <c r="B51" i="6" s="1"/>
  <c r="G51" i="6" s="1"/>
  <c r="B15" i="6"/>
  <c r="B14" i="6"/>
  <c r="G14" i="6"/>
  <c r="H14" i="6" s="1"/>
  <c r="H13" i="6"/>
  <c r="B12" i="6"/>
  <c r="G12" i="6" s="1"/>
  <c r="H12" i="6" s="1"/>
  <c r="D12" i="6" s="1"/>
  <c r="B11" i="6"/>
  <c r="G11" i="6" s="1"/>
  <c r="H11" i="6" s="1"/>
  <c r="D11" i="6" s="1"/>
  <c r="G9" i="6"/>
  <c r="H9" i="6" s="1"/>
  <c r="D9" i="6" s="1"/>
  <c r="B8" i="6"/>
  <c r="G8" i="6" s="1"/>
  <c r="H8" i="6" s="1"/>
  <c r="D8" i="6" s="1"/>
  <c r="B7" i="6"/>
  <c r="G7" i="6" s="1"/>
  <c r="H7" i="6" s="1"/>
  <c r="D7" i="6" s="1"/>
  <c r="B6" i="6"/>
  <c r="G6" i="6"/>
  <c r="B5" i="6"/>
  <c r="F6" i="6"/>
  <c r="H6" i="6" s="1"/>
  <c r="D6" i="6" s="1"/>
  <c r="B4" i="6"/>
  <c r="G4" i="6" s="1"/>
  <c r="H4" i="6" s="1"/>
  <c r="D4" i="6" s="1"/>
  <c r="S2492" i="5"/>
  <c r="B90" i="4"/>
  <c r="H67" i="4"/>
  <c r="P47" i="4"/>
  <c r="B47" i="4" s="1"/>
  <c r="A32" i="6" s="1"/>
  <c r="P46" i="4"/>
  <c r="P45" i="4"/>
  <c r="P44" i="4"/>
  <c r="P43" i="4"/>
  <c r="Q43" i="4" s="1"/>
  <c r="P41" i="4"/>
  <c r="P40" i="4"/>
  <c r="P39" i="4"/>
  <c r="B39" i="4" s="1"/>
  <c r="P38" i="4"/>
  <c r="P37" i="4"/>
  <c r="Q37" i="4" s="1"/>
  <c r="P35" i="4"/>
  <c r="P34" i="4"/>
  <c r="P33" i="4"/>
  <c r="P32" i="4"/>
  <c r="P31" i="4"/>
  <c r="Q31" i="4" s="1"/>
  <c r="P29" i="4"/>
  <c r="P28" i="4"/>
  <c r="P27" i="4"/>
  <c r="P26" i="4"/>
  <c r="D11" i="4"/>
  <c r="A5" i="4"/>
  <c r="Q4" i="5"/>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F22" i="6"/>
  <c r="H22" i="6" s="1"/>
  <c r="B22" i="6"/>
  <c r="F27" i="6"/>
  <c r="F64" i="6"/>
  <c r="G5" i="6"/>
  <c r="H5" i="6"/>
  <c r="D5" i="6" s="1"/>
  <c r="G17" i="6"/>
  <c r="H17" i="6"/>
  <c r="B21" i="6"/>
  <c r="G16" i="6"/>
  <c r="H16" i="6" s="1"/>
  <c r="B19" i="6"/>
  <c r="B29" i="6" s="1"/>
  <c r="G29" i="6" s="1"/>
  <c r="A38" i="2"/>
  <c r="J4" i="5"/>
  <c r="B41" i="4"/>
  <c r="B65" i="4" s="1"/>
  <c r="A47"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9" i="4" s="1"/>
  <c r="A17" i="2"/>
  <c r="A34" i="2"/>
  <c r="A52" i="2"/>
  <c r="A70" i="2"/>
  <c r="C7" i="3"/>
  <c r="C15" i="3"/>
  <c r="C23" i="3"/>
  <c r="C31" i="3"/>
  <c r="B15" i="4"/>
  <c r="A7" i="6" s="1"/>
  <c r="B28" i="4"/>
  <c r="B34" i="4" s="1"/>
  <c r="A21" i="6" s="1"/>
  <c r="B40" i="4"/>
  <c r="B70" i="4" s="1"/>
  <c r="A5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61" i="4" s="1"/>
  <c r="B44" i="4"/>
  <c r="A29" i="6" s="1"/>
  <c r="A4" i="5"/>
  <c r="I4" i="5"/>
  <c r="I14" i="6"/>
  <c r="I15" i="6"/>
  <c r="I16" i="6"/>
  <c r="I17" i="6"/>
  <c r="J24" i="6"/>
  <c r="I25" i="6"/>
  <c r="J36" i="6"/>
  <c r="I37" i="6"/>
  <c r="J44" i="6"/>
  <c r="I45" i="6"/>
  <c r="J52" i="6"/>
  <c r="J62" i="6"/>
  <c r="I63"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B32" i="6"/>
  <c r="G32" i="6" s="1"/>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B41" i="6"/>
  <c r="G41" i="6"/>
  <c r="B31" i="6"/>
  <c r="G31" i="6" s="1"/>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F26" i="6"/>
  <c r="F67" i="6" s="1"/>
  <c r="B52" i="6"/>
  <c r="G52" i="6"/>
  <c r="B37" i="6"/>
  <c r="G37" i="6"/>
  <c r="B42" i="6"/>
  <c r="G42" i="6" s="1"/>
  <c r="B39" i="6"/>
  <c r="G39" i="6" s="1"/>
  <c r="B44" i="6"/>
  <c r="G44" i="6"/>
  <c r="B34" i="6"/>
  <c r="G34" i="6" s="1"/>
  <c r="B24" i="6"/>
  <c r="G24" i="6" s="1"/>
  <c r="G22" i="6"/>
  <c r="B47" i="6"/>
  <c r="G47" i="6" s="1"/>
  <c r="H47" i="6" s="1"/>
  <c r="D47" i="6" s="1"/>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c r="B26" i="6"/>
  <c r="G26" i="6" s="1"/>
  <c r="G21" i="6"/>
  <c r="B36" i="6"/>
  <c r="G36" i="6" s="1"/>
  <c r="D17" i="6"/>
  <c r="B27" i="6"/>
  <c r="G27" i="6" s="1"/>
  <c r="H27" i="6" s="1"/>
  <c r="D27" i="6" s="1"/>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31"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F42" i="6"/>
  <c r="H42" i="6" s="1"/>
  <c r="D42" i="6" s="1"/>
  <c r="F68" i="6"/>
  <c r="F32" i="6"/>
  <c r="H32" i="6" s="1"/>
  <c r="D32" i="6" s="1"/>
  <c r="F52" i="6"/>
  <c r="H52" i="6"/>
  <c r="D52" i="6" s="1"/>
  <c r="F47" i="6"/>
  <c r="F37" i="6"/>
  <c r="H37" i="6" s="1"/>
  <c r="D37" i="6" s="1"/>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984" i="5"/>
  <c r="F984" i="5"/>
  <c r="R984" i="5"/>
  <c r="J984" i="5"/>
  <c r="I984" i="5"/>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R7" i="5"/>
  <c r="X7" i="5"/>
  <c r="R8" i="5"/>
  <c r="X8" i="5"/>
  <c r="V209" i="5"/>
  <c r="G209" i="5"/>
  <c r="R379" i="5"/>
  <c r="E379" i="5"/>
  <c r="X379" i="5" s="1"/>
  <c r="H423" i="5"/>
  <c r="E423" i="5"/>
  <c r="X423" i="5" s="1"/>
  <c r="X30" i="5"/>
  <c r="X56" i="5"/>
  <c r="X36"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G67" i="6" s="1"/>
  <c r="V5" i="5"/>
  <c r="R5" i="5" s="1"/>
  <c r="R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AB7" i="5"/>
  <c r="G65" i="6" s="1"/>
  <c r="AB8" i="5"/>
  <c r="AB9" i="5"/>
  <c r="AB10" i="5"/>
  <c r="AB11" i="5"/>
  <c r="AB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R10" i="5"/>
  <c r="R11" i="5"/>
  <c r="R12" i="5"/>
  <c r="R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E209" i="5"/>
  <c r="X209" i="5" s="1"/>
  <c r="J209" i="5"/>
  <c r="R209" i="5"/>
  <c r="F209" i="5"/>
  <c r="H209" i="5"/>
  <c r="I209" i="5"/>
  <c r="X5" i="5"/>
  <c r="G68" i="6"/>
  <c r="H68" i="6" s="1"/>
  <c r="D68" i="6" s="1"/>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6" i="6"/>
  <c r="S6" i="5"/>
  <c r="S12" i="5"/>
  <c r="S7" i="5"/>
  <c r="S5" i="5"/>
  <c r="S8" i="5"/>
  <c r="S9" i="5"/>
  <c r="S11" i="5"/>
  <c r="S10" i="5"/>
  <c r="T13" i="5"/>
  <c r="G64" i="6" a="1"/>
  <c r="H67" i="6" l="1"/>
  <c r="D67" i="6" s="1"/>
  <c r="G69" i="6" a="1"/>
  <c r="G69" i="6" s="1"/>
  <c r="H69" i="6" s="1"/>
  <c r="B35" i="4"/>
  <c r="A22" i="6" s="1"/>
  <c r="A24" i="6"/>
  <c r="B68" i="4"/>
  <c r="A49" i="6" s="1"/>
  <c r="B53" i="4"/>
  <c r="A37" i="6" s="1"/>
  <c r="H31" i="6"/>
  <c r="D31" i="6" s="1"/>
  <c r="F51" i="6"/>
  <c r="H26" i="6"/>
  <c r="D26" i="6" s="1"/>
  <c r="H51" i="6"/>
  <c r="D51" i="6" s="1"/>
  <c r="F36" i="6"/>
  <c r="H36" i="6" s="1"/>
  <c r="D36" i="6" s="1"/>
  <c r="F41" i="6"/>
  <c r="H41" i="6" s="1"/>
  <c r="D41" i="6" s="1"/>
  <c r="H46" i="6"/>
  <c r="D46" i="6" s="1"/>
  <c r="F46" i="6"/>
  <c r="D22" i="6"/>
  <c r="K68" i="6"/>
  <c r="C42" i="6"/>
  <c r="C22" i="6"/>
  <c r="C32" i="6"/>
  <c r="C68" i="6"/>
  <c r="C27" i="6"/>
  <c r="C37" i="6"/>
  <c r="C52" i="6"/>
  <c r="C47" i="6"/>
  <c r="C17" i="6"/>
  <c r="K67" i="6"/>
  <c r="D16" i="6"/>
  <c r="C31" i="6"/>
  <c r="A27" i="6"/>
  <c r="C46" i="6"/>
  <c r="F21" i="6"/>
  <c r="H21" i="6" s="1"/>
  <c r="D21" i="6" s="1"/>
  <c r="C26" i="6"/>
  <c r="C16" i="6"/>
  <c r="C36" i="6"/>
  <c r="C41" i="6"/>
  <c r="C67" i="6"/>
  <c r="C21" i="6"/>
  <c r="B79" i="4"/>
  <c r="A57" i="6" s="1"/>
  <c r="B61" i="4"/>
  <c r="A43" i="6" s="1"/>
  <c r="B67" i="4"/>
  <c r="A48" i="6" s="1"/>
  <c r="B49" i="4"/>
  <c r="A33" i="6" s="1"/>
  <c r="B77" i="4"/>
  <c r="A55" i="6" s="1"/>
  <c r="B57" i="4"/>
  <c r="A40" i="6" s="1"/>
  <c r="B69" i="4"/>
  <c r="A50" i="6" s="1"/>
  <c r="F20" i="6"/>
  <c r="B30" i="6"/>
  <c r="G30" i="6" s="1"/>
  <c r="B20" i="6"/>
  <c r="B40" i="6" s="1"/>
  <c r="G40" i="6" s="1"/>
  <c r="G15" i="6"/>
  <c r="H15" i="6" s="1"/>
  <c r="C15" i="6" s="1"/>
  <c r="D14" i="6"/>
  <c r="B49" i="6"/>
  <c r="G49" i="6" s="1"/>
  <c r="B81" i="4"/>
  <c r="A58" i="6" s="1"/>
  <c r="B85" i="4"/>
  <c r="A60" i="6" s="1"/>
  <c r="C14" i="6"/>
  <c r="B83" i="4"/>
  <c r="A59" i="6" s="1"/>
  <c r="B55" i="4"/>
  <c r="A38" i="6" s="1"/>
  <c r="G19" i="6"/>
  <c r="H19" i="6" s="1"/>
  <c r="D19" i="6" s="1"/>
  <c r="F24" i="6"/>
  <c r="B37" i="4"/>
  <c r="A23" i="6" s="1"/>
  <c r="B89" i="4"/>
  <c r="A63" i="6" s="1"/>
  <c r="B43" i="4"/>
  <c r="A28" i="6" s="1"/>
  <c r="B75" i="4"/>
  <c r="A54" i="6" s="1"/>
  <c r="B87" i="4"/>
  <c r="A62" i="6" s="1"/>
  <c r="B31" i="4"/>
  <c r="A18" i="6" s="1"/>
  <c r="C12" i="6"/>
  <c r="D74" i="4"/>
  <c r="D61" i="4"/>
  <c r="D67" i="4"/>
  <c r="C5" i="6"/>
  <c r="C11" i="6"/>
  <c r="G67" i="4"/>
  <c r="C10" i="6"/>
  <c r="B62" i="4"/>
  <c r="A44" i="6" s="1"/>
  <c r="B50" i="4"/>
  <c r="A34" i="6" s="1"/>
  <c r="A26" i="6"/>
  <c r="C9" i="6"/>
  <c r="C8" i="6"/>
  <c r="C7" i="6"/>
  <c r="B63" i="4"/>
  <c r="A45" i="6" s="1"/>
  <c r="A25" i="6"/>
  <c r="D55" i="4"/>
  <c r="D31" i="4"/>
  <c r="D43" i="4"/>
  <c r="D37" i="4"/>
  <c r="C6" i="6"/>
  <c r="B64" i="4"/>
  <c r="A46" i="6" s="1"/>
  <c r="B52" i="4"/>
  <c r="A36" i="6" s="1"/>
  <c r="G37" i="4"/>
  <c r="G55" i="4"/>
  <c r="G74" i="4"/>
  <c r="B51" i="4"/>
  <c r="A35" i="6" s="1"/>
  <c r="G43" i="4"/>
  <c r="G49" i="4"/>
  <c r="G31" i="4"/>
  <c r="A16" i="6"/>
  <c r="B33" i="4"/>
  <c r="A20" i="6" s="1"/>
  <c r="C4" i="6"/>
  <c r="B32" i="4"/>
  <c r="A19" i="6" s="1"/>
  <c r="B71" i="4"/>
  <c r="A52" i="6" s="1"/>
  <c r="B59" i="4"/>
  <c r="A42" i="6" s="1"/>
  <c r="B58" i="4"/>
  <c r="A41" i="6" s="1"/>
  <c r="G64" i="6"/>
  <c r="T10" i="5"/>
  <c r="T11" i="5"/>
  <c r="T9" i="5"/>
  <c r="T8" i="5"/>
  <c r="T5" i="5"/>
  <c r="T7" i="5"/>
  <c r="T12" i="5"/>
  <c r="C51" i="6" l="1"/>
  <c r="H20" i="6"/>
  <c r="K66" i="6" s="1"/>
  <c r="D15" i="6"/>
  <c r="B50" i="6"/>
  <c r="G50" i="6" s="1"/>
  <c r="G20" i="6"/>
  <c r="B35" i="6"/>
  <c r="G35" i="6" s="1"/>
  <c r="F25" i="6"/>
  <c r="B25" i="6"/>
  <c r="G25" i="6" s="1"/>
  <c r="B45" i="6"/>
  <c r="G45" i="6" s="1"/>
  <c r="C19" i="6"/>
  <c r="F54" i="6"/>
  <c r="F65" i="6"/>
  <c r="F49" i="6"/>
  <c r="H49" i="6" s="1"/>
  <c r="F29" i="6"/>
  <c r="H29" i="6" s="1"/>
  <c r="H24" i="6"/>
  <c r="F44" i="6"/>
  <c r="H44" i="6" s="1"/>
  <c r="F34" i="6"/>
  <c r="H34" i="6" s="1"/>
  <c r="F39" i="6"/>
  <c r="H39" i="6" s="1"/>
  <c r="K65" i="6"/>
  <c r="H64" i="6"/>
  <c r="B64" i="6"/>
  <c r="F40" i="6" l="1"/>
  <c r="H40" i="6" s="1"/>
  <c r="F45" i="6"/>
  <c r="H45" i="6" s="1"/>
  <c r="F66" i="6"/>
  <c r="H66" i="6" s="1"/>
  <c r="F50" i="6"/>
  <c r="H50" i="6" s="1"/>
  <c r="H25" i="6"/>
  <c r="F30" i="6"/>
  <c r="H30" i="6" s="1"/>
  <c r="F35" i="6"/>
  <c r="H35" i="6" s="1"/>
  <c r="D20" i="6"/>
  <c r="C20" i="6"/>
  <c r="D29" i="6"/>
  <c r="C29" i="6"/>
  <c r="D39" i="6"/>
  <c r="C39" i="6"/>
  <c r="D34" i="6"/>
  <c r="C34" i="6"/>
  <c r="D24" i="6"/>
  <c r="C24" i="6"/>
  <c r="D49" i="6"/>
  <c r="C49" i="6"/>
  <c r="C2" i="6"/>
  <c r="B2" i="6"/>
  <c r="H65" i="6"/>
  <c r="D44" i="6"/>
  <c r="C44" i="6"/>
  <c r="F60" i="6"/>
  <c r="H60" i="6" s="1"/>
  <c r="F63" i="6"/>
  <c r="H63" i="6" s="1"/>
  <c r="H54" i="6"/>
  <c r="F59" i="6"/>
  <c r="H59" i="6" s="1"/>
  <c r="F55" i="6"/>
  <c r="F57" i="6"/>
  <c r="H57" i="6" s="1"/>
  <c r="F62" i="6"/>
  <c r="H62" i="6" s="1"/>
  <c r="F58" i="6"/>
  <c r="H58" i="6" s="1"/>
  <c r="C64" i="6"/>
  <c r="D64" i="6"/>
  <c r="D25" i="6" l="1"/>
  <c r="C25" i="6"/>
  <c r="D66" i="6"/>
  <c r="C66" i="6"/>
  <c r="D35" i="6"/>
  <c r="C35" i="6"/>
  <c r="D40" i="6"/>
  <c r="C40" i="6"/>
  <c r="D30" i="6"/>
  <c r="C30" i="6"/>
  <c r="D50" i="6"/>
  <c r="C50" i="6"/>
  <c r="D45" i="6"/>
  <c r="C45" i="6"/>
  <c r="D65" i="6"/>
  <c r="C65" i="6"/>
  <c r="D58" i="6"/>
  <c r="C58" i="6"/>
  <c r="D63" i="6"/>
  <c r="C63" i="6"/>
  <c r="D62" i="6"/>
  <c r="C62" i="6"/>
  <c r="D57" i="6"/>
  <c r="C57" i="6"/>
  <c r="H55" i="6"/>
  <c r="F56" i="6"/>
  <c r="H56" i="6" s="1"/>
  <c r="D59" i="6"/>
  <c r="C59" i="6"/>
  <c r="D54" i="6"/>
  <c r="C54" i="6"/>
  <c r="D60" i="6"/>
  <c r="C60" i="6"/>
  <c r="D56" i="6" l="1"/>
  <c r="C56" i="6"/>
  <c r="D55" i="6"/>
  <c r="C5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<sst xmlns="http://schemas.openxmlformats.org/spreadsheetml/2006/main" count="22619" uniqueCount="15891">
  <si>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</si>
  <si>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</si>
  <si>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</si>
  <si>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</si>
  <si>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</si>
  <si>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</si>
  <si>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</si>
  <si>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</si>
  <si>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</si>
  <si>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</si>
  <si>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</si>
  <si>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</si>
  <si>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</si>
  <si>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</si>
  <si>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</si>
  <si>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</si>
  <si>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</si>
  <si>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</si>
  <si>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</si>
  <si>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</si>
  <si>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</si>
  <si>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</si>
  <si>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</si>
  <si>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</si>
  <si>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</si>
  <si>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</si>
  <si>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</si>
  <si>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</si>
  <si>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</si>
  <si>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</si>
  <si>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</si>
  <si>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</si>
  <si>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</si>
  <si>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</si>
  <si>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</si>
  <si>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</si>
  <si>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</si>
  <si>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</si>
  <si>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</si>
  <si>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</si>
  <si>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</si>
  <si>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</si>
  <si>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</si>
  <si>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</si>
  <si>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</si>
  <si>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</si>
  <si>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</si>
  <si>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</si>
  <si>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</si>
  <si>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</si>
  <si>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</si>
  <si>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</si>
  <si>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</si>
  <si>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</si>
  <si>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</si>
  <si>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</si>
  <si>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</si>
  <si>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</si>
  <si>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</si>
  <si>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</si>
  <si>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</si>
  <si>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</si>
  <si>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</si>
  <si>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</si>
  <si>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</si>
  <si>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</si>
  <si>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</si>
  <si>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</si>
  <si>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</si>
  <si>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</si>
  <si>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</si>
  <si>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</si>
  <si>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</si>
  <si>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</si>
  <si>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</si>
  <si>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</si>
  <si>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</si>
  <si>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</si>
  <si>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</si>
  <si>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</si>
  <si>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</si>
  <si>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</si>
  <si>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</si>
  <si>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</si>
  <si>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</si>
  <si>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</si>
  <si>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</si>
  <si>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</si>
  <si>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</si>
  <si>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</si>
  <si>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</si>
  <si>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</si>
  <si>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</si>
  <si>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</si>
  <si>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</si>
  <si>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</si>
  <si>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</si>
  <si>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</si>
  <si>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</si>
  <si>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</si>
  <si>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</si>
  <si>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</si>
  <si>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</si>
  <si>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</si>
  <si>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</si>
  <si>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</si>
  <si>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</si>
  <si>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</si>
  <si>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</si>
  <si>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</si>
  <si>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</si>
  <si>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</si>
  <si>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</si>
  <si>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</si>
  <si>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</si>
  <si>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</si>
  <si>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</si>
  <si>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</si>
  <si>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</si>
  <si>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</si>
  <si>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</si>
  <si>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</si>
  <si>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</si>
  <si>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</si>
  <si>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</si>
  <si>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</si>
  <si>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</si>
  <si>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</si>
  <si>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</si>
  <si>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</si>
  <si>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</si>
  <si>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</si>
  <si>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</si>
  <si>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</si>
  <si>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</si>
  <si>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</si>
  <si>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</si>
  <si>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</si>
  <si>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</si>
  <si>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</si>
  <si>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</si>
  <si>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</si>
  <si>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</si>
  <si>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</si>
  <si>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</si>
  <si>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</si>
  <si>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</si>
  <si>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</si>
  <si>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</si>
  <si>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</si>
  <si>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</si>
  <si>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</si>
  <si>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</si>
  <si>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</si>
  <si>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</si>
  <si>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</si>
  <si>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</si>
  <si>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</si>
  <si>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</si>
  <si>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</si>
  <si>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</si>
  <si>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</si>
  <si>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</si>
  <si>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</si>
  <si>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</si>
  <si>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</si>
  <si>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</si>
  <si>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</si>
  <si>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</si>
  <si>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</si>
  <si>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</si>
  <si>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</si>
  <si>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</si>
  <si>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</si>
  <si>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</si>
  <si>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</si>
  <si>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</si>
  <si>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</si>
  <si>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</si>
  <si>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</si>
  <si>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</si>
  <si>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</si>
  <si>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</si>
  <si>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</si>
  <si>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</si>
  <si>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</si>
  <si>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</si>
  <si>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</si>
  <si>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</si>
  <si>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</si>
  <si>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</si>
  <si>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</si>
  <si>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</si>
  <si>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</si>
  <si>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</si>
  <si>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</si>
  <si>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</si>
  <si>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</si>
  <si>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</si>
  <si>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</si>
  <si>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</si>
  <si>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</si>
  <si>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</si>
  <si>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</si>
  <si>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</si>
  <si>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</si>
  <si>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</si>
  <si>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</si>
  <si>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</si>
  <si>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</si>
  <si>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</si>
  <si>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</si>
  <si>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</si>
  <si>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</si>
  <si>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</si>
  <si>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</si>
  <si>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</si>
  <si>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</si>
  <si>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</si>
  <si>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</si>
  <si>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</si>
  <si>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</si>
  <si>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</si>
  <si>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</si>
  <si>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</si>
  <si>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</si>
  <si>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</si>
  <si>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</si>
  <si>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</si>
  <si>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</si>
  <si>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</si>
  <si>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</si>
  <si>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</si>
  <si>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</si>
  <si>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</si>
  <si>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</si>
  <si>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</si>
  <si>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</si>
  <si>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</si>
  <si>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</si>
  <si>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</si>
  <si>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</si>
  <si>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</si>
  <si>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</si>
  <si>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</si>
  <si>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</si>
  <si>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</si>
  <si>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</si>
  <si>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</si>
  <si>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</si>
  <si>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</si>
  <si>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</si>
  <si>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</si>
  <si>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</si>
  <si>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</si>
  <si>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</si>
  <si>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</si>
  <si>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</si>
  <si>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</si>
  <si>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</si>
  <si>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</si>
  <si>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</si>
  <si>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</si>
  <si>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</si>
  <si>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</si>
  <si>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</si>
  <si>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</si>
  <si>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</si>
  <si>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</si>
  <si>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</si>
  <si>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</si>
  <si>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</si>
  <si>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</si>
  <si>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</si>
  <si>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</si>
  <si>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</si>
  <si>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</si>
  <si>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</si>
  <si>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</si>
  <si>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</si>
  <si>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</si>
  <si>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</si>
  <si>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</si>
  <si>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</si>
  <si>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</si>
  <si>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</si>
  <si>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</si>
  <si>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</si>
  <si>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</si>
  <si>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</si>
  <si>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</si>
  <si>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</si>
  <si>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</si>
  <si>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</si>
  <si>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</si>
  <si>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</si>
  <si>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</si>
  <si>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</si>
  <si>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</si>
  <si>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</si>
  <si>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</si>
  <si>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</si>
  <si>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</si>
  <si>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</si>
  <si>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</si>
  <si>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</si>
  <si>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</si>
  <si>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</si>
  <si>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</si>
  <si>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</si>
  <si>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</si>
  <si>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</si>
  <si>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</si>
  <si>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</si>
  <si>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</si>
  <si>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</si>
  <si>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</si>
  <si>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</si>
  <si>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</si>
  <si>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</si>
  <si>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</si>
  <si>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</si>
  <si>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</si>
  <si>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</si>
  <si>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</si>
  <si>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</si>
  <si>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</si>
  <si>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</si>
  <si>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</si>
  <si>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</si>
  <si>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</si>
  <si>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</si>
  <si>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</si>
  <si>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</si>
  <si>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</si>
  <si>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</si>
  <si>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</si>
  <si>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</si>
  <si>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</si>
  <si>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</si>
  <si>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</si>
  <si>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</si>
  <si>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</si>
  <si>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</si>
  <si>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</si>
  <si>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</si>
  <si>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</si>
  <si>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</si>
  <si>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</si>
  <si>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</si>
  <si>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</si>
  <si>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</si>
  <si>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</si>
  <si>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</si>
  <si>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</si>
  <si>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</si>
  <si>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</si>
  <si>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</si>
  <si>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</si>
  <si>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</si>
  <si>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</si>
  <si>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</si>
  <si>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</si>
  <si>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</si>
  <si>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</si>
  <si>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</si>
  <si>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</si>
  <si>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</si>
  <si>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</si>
  <si>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</si>
  <si>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</si>
  <si>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</si>
  <si>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</si>
  <si>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</si>
  <si>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</si>
  <si>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</si>
  <si>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</si>
  <si>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</si>
  <si>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</si>
  <si>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</si>
  <si>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</si>
  <si>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</si>
  <si>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</si>
  <si>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</si>
  <si>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</si>
  <si>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</si>
  <si>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</si>
  <si>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</si>
  <si>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</si>
  <si>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</si>
  <si>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</si>
  <si>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</si>
  <si>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</si>
  <si>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</si>
  <si>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</si>
  <si>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</si>
  <si>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</si>
  <si>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</si>
  <si>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</si>
  <si>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</si>
  <si>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</si>
  <si>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</si>
  <si>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</si>
  <si>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</si>
  <si>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</si>
  <si>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</si>
  <si>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</si>
  <si>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</si>
  <si>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</si>
  <si>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</si>
  <si>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</si>
  <si>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</si>
  <si>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</si>
  <si>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</si>
  <si>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</si>
  <si>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</si>
  <si>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</si>
  <si>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</si>
  <si>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</si>
  <si>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</si>
  <si>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</si>
  <si>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</si>
  <si>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</si>
  <si>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</si>
  <si>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</si>
  <si>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</si>
  <si>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</si>
  <si>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</si>
  <si>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</si>
  <si>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</si>
  <si>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</si>
  <si>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</si>
  <si>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</si>
  <si>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</si>
  <si>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</si>
  <si>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</si>
  <si>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</si>
  <si>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</si>
  <si>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</si>
  <si>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</si>
  <si>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</si>
  <si>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</si>
  <si>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</si>
  <si>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</si>
  <si>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</si>
  <si>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</si>
  <si>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</si>
  <si>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</si>
  <si>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</si>
  <si>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</si>
  <si>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</si>
  <si>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</si>
  <si>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</si>
  <si>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</si>
  <si>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</si>
  <si>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</si>
  <si>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</si>
  <si>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</si>
  <si>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</si>
  <si>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</si>
  <si>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</si>
  <si>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</si>
  <si>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</si>
  <si>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</si>
  <si>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</si>
  <si>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</si>
  <si>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</si>
  <si>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</si>
  <si>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</si>
  <si>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</si>
  <si>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</si>
  <si>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</si>
  <si>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</si>
  <si>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</si>
  <si>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</si>
  <si>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</si>
  <si>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</si>
  <si>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</si>
  <si>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</si>
  <si>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</si>
  <si>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</si>
  <si>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</si>
  <si>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</si>
  <si>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</si>
  <si>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</si>
  <si>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</si>
  <si>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</si>
  <si>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</si>
  <si>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</si>
  <si>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</si>
  <si>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</si>
  <si>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</si>
  <si>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</si>
  <si>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</si>
  <si>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</si>
  <si>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</si>
  <si>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</si>
  <si>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</si>
  <si>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</si>
  <si>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</si>
  <si>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</si>
  <si>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</si>
  <si>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</si>
  <si>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</si>
  <si>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</si>
  <si>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</si>
  <si>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</si>
  <si>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</si>
  <si>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</si>
  <si>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</si>
  <si>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</si>
  <si>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</si>
  <si>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</si>
  <si>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</si>
  <si>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</si>
  <si>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</si>
  <si>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</si>
  <si>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</si>
  <si>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</si>
  <si>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</si>
  <si>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</si>
  <si>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</si>
  <si>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</si>
  <si>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</si>
  <si>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</si>
  <si>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</si>
  <si>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</si>
  <si>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</si>
  <si>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</si>
  <si>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</si>
  <si>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</si>
  <si>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</si>
  <si>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</si>
  <si>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</si>
  <si>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</si>
  <si>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</si>
  <si>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</si>
  <si>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</si>
  <si>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</si>
  <si>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</si>
  <si>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</si>
  <si>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</si>
  <si>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</si>
  <si>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</si>
  <si>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</si>
  <si>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</si>
  <si>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</si>
  <si>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</si>
  <si>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</si>
  <si>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</si>
  <si>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</si>
  <si>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</si>
  <si>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</si>
  <si>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</si>
  <si>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</si>
  <si>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</si>
  <si>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</si>
  <si>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</si>
  <si>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</si>
  <si>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</si>
  <si>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</si>
  <si>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</si>
  <si>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</si>
  <si>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</si>
  <si>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</si>
  <si>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</si>
  <si>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</si>
  <si>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</si>
  <si>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</si>
  <si>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</si>
  <si>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</si>
  <si>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</si>
  <si>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</si>
  <si>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</si>
  <si>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</si>
  <si>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</si>
  <si>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</si>
  <si>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</si>
  <si>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</si>
  <si>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</si>
  <si>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</si>
  <si>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</si>
  <si>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</si>
  <si>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</si>
  <si>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</si>
  <si>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</si>
  <si>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</si>
  <si>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</si>
  <si>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</si>
  <si>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</si>
  <si>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</si>
  <si>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</si>
  <si>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</si>
  <si>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</si>
  <si>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</si>
  <si>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</si>
  <si>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</si>
  <si>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</si>
  <si>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</si>
  <si>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</si>
  <si>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</si>
  <si>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</si>
  <si>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</si>
  <si>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</si>
  <si>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</si>
  <si>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</si>
  <si>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</si>
  <si>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</si>
  <si>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</si>
  <si>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</si>
  <si>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</si>
  <si>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</si>
  <si>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</si>
  <si>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</si>
  <si>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</si>
  <si>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</si>
  <si>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</si>
  <si>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</si>
  <si>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</si>
  <si>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</si>
  <si>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</si>
  <si>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</si>
  <si>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</si>
  <si>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</si>
  <si>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</si>
  <si>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</si>
  <si>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</si>
  <si>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</si>
  <si>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</si>
  <si>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</si>
  <si>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</si>
  <si>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</si>
  <si>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</si>
  <si>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</si>
  <si>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</si>
  <si>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</si>
  <si>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</si>
  <si>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</si>
  <si>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</si>
  <si>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</si>
  <si>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</si>
  <si>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</si>
  <si>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</si>
  <si>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</si>
  <si>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</si>
  <si>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</si>
  <si>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</si>
  <si>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</si>
  <si>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</si>
  <si>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</si>
  <si>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</si>
  <si>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</si>
  <si>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</si>
  <si>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</si>
  <si>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</si>
  <si>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</si>
  <si>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</si>
  <si>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</si>
  <si>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</si>
  <si>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</si>
  <si>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</si>
  <si>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</si>
  <si>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</si>
  <si>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</si>
  <si>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</si>
  <si>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</si>
  <si>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</si>
  <si>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</si>
  <si>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</si>
  <si>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</si>
  <si>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</si>
  <si>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</si>
  <si>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</si>
  <si>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</si>
  <si>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</si>
  <si>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</si>
  <si>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</si>
  <si>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</si>
  <si>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</si>
  <si>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</si>
  <si>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</si>
  <si>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</si>
  <si>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</si>
  <si>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</si>
  <si>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</si>
  <si>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</si>
  <si>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</si>
  <si>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</si>
  <si>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</si>
  <si>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</si>
  <si>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</si>
  <si>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</si>
  <si>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</si>
  <si>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</si>
  <si>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</si>
  <si>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</si>
  <si>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</si>
  <si>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</si>
  <si>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</si>
  <si>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</si>
  <si>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</si>
  <si>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</si>
  <si>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</si>
  <si>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</si>
  <si>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</si>
  <si>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</si>
  <si>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</si>
  <si>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</si>
  <si>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</si>
  <si>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</si>
  <si>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</si>
  <si>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</si>
  <si>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</si>
  <si>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</si>
  <si>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</si>
  <si>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</si>
  <si>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</si>
  <si>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</si>
  <si>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</si>
  <si>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</si>
  <si>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</si>
  <si>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</si>
  <si>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</si>
  <si>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</si>
  <si>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</si>
  <si>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</si>
  <si>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</si>
  <si>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</si>
  <si>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</si>
  <si>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</si>
  <si>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</si>
  <si>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</si>
  <si>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</si>
  <si>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</si>
  <si>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</si>
  <si>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</si>
  <si>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</si>
  <si>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</si>
  <si>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</si>
  <si>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</si>
  <si>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</si>
  <si>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</si>
  <si>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</si>
  <si>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</si>
  <si>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</si>
  <si>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</si>
  <si>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</si>
  <si>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</si>
  <si>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</si>
  <si>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</si>
  <si>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</si>
  <si>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</si>
  <si>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</si>
  <si>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</si>
  <si>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</si>
  <si>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</si>
  <si>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</si>
  <si>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</si>
  <si>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</si>
  <si>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</si>
  <si>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</si>
  <si>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</si>
  <si>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</si>
  <si>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</si>
  <si>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</si>
  <si>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</si>
  <si>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</si>
  <si>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</si>
  <si>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</si>
  <si>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</si>
  <si>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</si>
  <si>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</si>
  <si>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</si>
  <si>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</si>
  <si>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</si>
  <si>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</si>
  <si>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</si>
  <si>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</si>
  <si>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</si>
  <si>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</si>
  <si>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</si>
  <si>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</si>
  <si>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</si>
  <si>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</si>
  <si>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</si>
  <si>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</si>
  <si>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</si>
  <si>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</si>
  <si>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</si>
  <si>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</si>
  <si>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</si>
  <si>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</si>
  <si>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</si>
  <si>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</si>
  <si>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</si>
  <si>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</si>
  <si>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</si>
  <si>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</si>
  <si>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</si>
  <si>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</si>
  <si>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</si>
  <si>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</si>
  <si>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</si>
  <si>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</si>
  <si>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</si>
  <si>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</si>
  <si>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</si>
  <si>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</si>
  <si>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</si>
  <si>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</si>
  <si>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</si>
  <si>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</si>
  <si>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</si>
  <si>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</si>
  <si>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</si>
  <si>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</si>
  <si>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</si>
  <si>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</si>
  <si>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</si>
  <si>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</si>
  <si>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</si>
  <si>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</si>
  <si>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</si>
  <si>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</si>
  <si>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</si>
  <si>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</si>
  <si>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</si>
  <si>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</si>
  <si>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</si>
  <si>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</si>
  <si>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</si>
  <si>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</si>
  <si>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</si>
  <si>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</si>
  <si>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</si>
  <si>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</si>
  <si>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</si>
  <si>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</si>
  <si>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</si>
  <si>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</si>
  <si>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</si>
  <si>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</si>
  <si>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</si>
  <si>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</si>
  <si>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</si>
  <si>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</si>
  <si>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</si>
  <si>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</si>
  <si>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</si>
  <si>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</si>
  <si>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</si>
  <si>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</si>
  <si>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</si>
  <si>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</si>
  <si>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</si>
  <si>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</si>
  <si>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</si>
  <si>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</si>
  <si>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</si>
  <si>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</si>
  <si>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</si>
  <si>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</si>
  <si>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</si>
  <si>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</si>
  <si>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</si>
  <si>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</si>
  <si>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</si>
  <si>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</si>
  <si>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</si>
  <si>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</si>
  <si>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</si>
  <si>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</si>
  <si>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</si>
  <si>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</si>
  <si>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</si>
  <si>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</si>
  <si>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</si>
  <si>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</si>
  <si>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</si>
  <si>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</si>
  <si>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</si>
  <si>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</si>
  <si>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</si>
  <si>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</si>
  <si>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</si>
  <si>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</si>
  <si>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</si>
  <si>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</si>
  <si>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</si>
  <si>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</si>
  <si>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</si>
  <si>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</si>
  <si>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</si>
  <si>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</si>
  <si>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</si>
  <si>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</si>
  <si>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</si>
  <si>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</si>
  <si>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</si>
  <si>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</si>
  <si>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</si>
  <si>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</si>
  <si>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</si>
  <si>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</si>
  <si>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</si>
  <si>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</si>
  <si>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</si>
  <si>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</si>
  <si>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</si>
  <si>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</si>
  <si>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</si>
  <si>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</si>
  <si>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</si>
  <si>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</si>
  <si>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</si>
  <si>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</si>
  <si>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</si>
  <si>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</si>
  <si>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</si>
  <si>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</si>
  <si>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</si>
  <si>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</si>
  <si>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</si>
  <si>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</si>
  <si>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</si>
  <si>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</si>
  <si>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</si>
  <si>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</si>
  <si>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</si>
  <si>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</si>
  <si>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</si>
  <si>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</si>
  <si>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</si>
  <si>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</si>
  <si>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</si>
  <si>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</si>
  <si>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</si>
  <si>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</si>
  <si>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</si>
  <si>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</si>
  <si>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</si>
  <si>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</si>
  <si>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</si>
  <si>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</si>
  <si>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</si>
  <si>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</si>
  <si>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</si>
  <si>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</si>
  <si>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</si>
  <si>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</si>
  <si>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</si>
  <si>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</si>
  <si>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</si>
  <si>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</si>
  <si>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</si>
  <si>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</si>
  <si>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</si>
  <si>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</si>
  <si>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</si>
  <si>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</si>
  <si>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</si>
  <si>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</si>
  <si>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</si>
  <si>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</si>
  <si>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</si>
  <si>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</si>
  <si>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</si>
  <si>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</si>
  <si>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</si>
  <si>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</si>
  <si>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</si>
  <si>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</si>
  <si>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</si>
  <si>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</si>
  <si>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</si>
  <si>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</si>
  <si>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</si>
  <si>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</si>
  <si>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</si>
  <si>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</si>
  <si>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</si>
  <si>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</si>
  <si>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</si>
  <si>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</si>
  <si>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</si>
  <si>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</si>
  <si>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</si>
  <si>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</si>
  <si>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</si>
  <si>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</si>
  <si>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</si>
  <si>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</si>
  <si>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</si>
  <si>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</si>
  <si>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</si>
  <si>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</si>
  <si>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</si>
  <si>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</si>
  <si>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</si>
  <si>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</si>
  <si>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</si>
  <si>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</si>
  <si>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</si>
  <si>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</si>
  <si>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</si>
  <si>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</si>
  <si>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</si>
  <si>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</si>
  <si>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</si>
  <si>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</si>
  <si>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</si>
  <si>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</si>
  <si>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</si>
  <si>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</si>
  <si>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</si>
  <si>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</si>
  <si>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</si>
  <si>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</si>
  <si>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</si>
  <si>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</si>
  <si>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</si>
  <si>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</si>
  <si>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</si>
  <si>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</si>
  <si>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</si>
  <si>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</si>
  <si>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</si>
  <si>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</si>
  <si>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</si>
  <si>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</si>
  <si>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</si>
  <si>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</si>
  <si>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</si>
  <si>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</si>
  <si>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</si>
  <si>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</si>
  <si>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</si>
  <si>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</si>
  <si>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</si>
  <si>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</si>
  <si>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</si>
  <si>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</si>
  <si>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</si>
  <si>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</si>
  <si>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</si>
  <si>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</si>
  <si>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</si>
  <si>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</si>
  <si>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</si>
  <si>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</si>
  <si>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</si>
  <si>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</si>
  <si>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</si>
  <si>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</si>
  <si>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</si>
  <si>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</si>
  <si>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</si>
  <si>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</si>
  <si>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</si>
  <si>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</si>
  <si>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</si>
  <si>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</si>
  <si>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</si>
  <si>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</si>
  <si>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</si>
  <si>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</si>
  <si>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</si>
  <si>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</si>
  <si>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</si>
  <si>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</si>
  <si>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</si>
  <si>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</si>
  <si>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</si>
  <si>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</si>
  <si>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</si>
  <si>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</si>
  <si>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</si>
  <si>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</si>
  <si>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</si>
  <si>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</si>
  <si>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</si>
  <si>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</si>
  <si>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</si>
  <si>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</si>
  <si>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</si>
  <si>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</si>
  <si>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</si>
  <si>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</si>
  <si>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</si>
  <si>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</si>
  <si>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</si>
  <si>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</si>
  <si>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</si>
  <si>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</si>
  <si>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</si>
  <si>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</si>
  <si>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</si>
  <si>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</si>
  <si>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</si>
  <si>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</si>
  <si>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</si>
  <si>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</si>
  <si>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</si>
  <si>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</si>
  <si>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</si>
  <si>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</si>
  <si>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</si>
  <si>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</si>
  <si>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</si>
  <si>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</si>
  <si>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</si>
  <si>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</si>
  <si>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</si>
  <si>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</si>
  <si>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</si>
  <si>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</si>
  <si>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</si>
  <si>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</si>
  <si>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</si>
  <si>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</si>
  <si>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</si>
  <si>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</si>
  <si>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</si>
  <si>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</si>
  <si>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</si>
  <si>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</si>
  <si>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</si>
  <si>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</si>
  <si>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</si>
  <si>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</si>
  <si>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</si>
  <si>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</si>
  <si>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</si>
  <si>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</si>
  <si>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</si>
  <si>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</si>
  <si>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</si>
  <si>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</si>
  <si>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</si>
  <si>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</si>
  <si>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</si>
  <si>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</si>
  <si>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</si>
  <si>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</si>
  <si>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</si>
  <si>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</si>
  <si>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</si>
  <si>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</si>
  <si>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</si>
  <si>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</si>
  <si>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</si>
  <si>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</si>
  <si>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</si>
  <si>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</si>
  <si>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</si>
  <si>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</si>
  <si>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</si>
  <si>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</si>
  <si>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</si>
  <si>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</si>
  <si>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</si>
  <si>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</si>
  <si>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</si>
  <si>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</si>
  <si>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</si>
  <si>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</si>
  <si>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</si>
  <si>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</si>
  <si>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</si>
  <si>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</si>
  <si>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</si>
  <si>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</si>
  <si>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</si>
  <si>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</si>
  <si>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</si>
  <si>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</si>
  <si>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</si>
  <si>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</si>
  <si>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</si>
  <si>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</si>
  <si>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</si>
  <si>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</si>
  <si>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</si>
  <si>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</si>
  <si>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</si>
  <si>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</si>
  <si>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</si>
  <si>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</si>
  <si>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</si>
  <si>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</si>
  <si>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</si>
  <si>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</si>
  <si>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</si>
  <si>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</si>
  <si>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</si>
  <si>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</si>
  <si>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</si>
  <si>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</si>
  <si>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</si>
  <si>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</si>
  <si>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</si>
  <si>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</si>
  <si>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</si>
  <si>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</si>
  <si>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</si>
  <si>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</si>
  <si>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</si>
  <si>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</si>
  <si>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</si>
  <si>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</si>
  <si>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</si>
  <si>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</si>
  <si>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</si>
  <si>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</si>
  <si>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</si>
  <si>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</si>
  <si>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</si>
  <si>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</si>
  <si>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</si>
  <si>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</si>
  <si>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</si>
  <si>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</si>
  <si>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</si>
  <si>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</si>
  <si>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</si>
  <si>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</si>
  <si>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</si>
  <si>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</si>
  <si>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</si>
  <si>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</si>
  <si>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</si>
  <si>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</si>
  <si>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</si>
  <si>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</si>
  <si>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</si>
  <si>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</si>
  <si>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</si>
  <si>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</si>
  <si>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</si>
  <si>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</si>
  <si>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</si>
  <si>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</si>
  <si>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</si>
  <si>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</si>
  <si>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</si>
  <si>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</si>
  <si>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</si>
  <si>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</si>
  <si>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</si>
  <si>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</si>
  <si>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</si>
  <si>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</si>
  <si>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</si>
  <si>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</si>
  <si>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</si>
  <si>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</si>
  <si>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</si>
  <si>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</si>
  <si>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</si>
  <si>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</si>
  <si>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</si>
  <si>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</si>
  <si>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</si>
  <si>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</si>
  <si>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</si>
  <si>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</si>
  <si>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</si>
  <si>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</si>
  <si>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</si>
  <si>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</si>
  <si>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</si>
  <si>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</si>
  <si>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</si>
  <si>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</si>
  <si>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</si>
  <si>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</si>
  <si>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</si>
  <si>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</si>
  <si>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</si>
  <si>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</si>
  <si>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</si>
  <si>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</si>
  <si>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</si>
  <si>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</si>
  <si>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</si>
  <si>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</si>
  <si>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</si>
  <si>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</si>
  <si>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</si>
  <si>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</si>
  <si>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</si>
  <si>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</si>
  <si>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</si>
  <si>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</si>
  <si>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</si>
  <si>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</si>
  <si>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</si>
  <si>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</si>
  <si>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</si>
  <si>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</si>
  <si>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</si>
  <si>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</si>
  <si>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</si>
  <si>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</si>
  <si>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</si>
  <si>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</si>
  <si>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</si>
  <si>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</si>
  <si>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</si>
  <si>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</si>
  <si>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</si>
  <si>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</si>
  <si>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</si>
  <si>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</si>
  <si>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</si>
  <si>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</si>
  <si>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</si>
  <si>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</si>
  <si>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</si>
  <si>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</si>
  <si>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</si>
  <si>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</si>
  <si>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</si>
  <si>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</si>
  <si>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</si>
  <si>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</si>
  <si>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</si>
  <si>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</si>
  <si>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</si>
  <si>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</si>
  <si>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</si>
  <si>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</si>
  <si>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</si>
  <si>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</si>
  <si>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</si>
  <si>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</si>
  <si>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</si>
  <si>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</si>
  <si>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</si>
  <si>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</si>
  <si>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</si>
  <si>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</si>
  <si>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</si>
  <si>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</si>
  <si>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</si>
  <si>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</si>
  <si>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</si>
  <si>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</si>
  <si>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</si>
  <si>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</si>
  <si>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</si>
  <si>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</si>
  <si>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</si>
  <si>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</si>
  <si>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</si>
  <si>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</si>
  <si>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</si>
  <si>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</si>
  <si>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</si>
  <si>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</si>
  <si>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</si>
  <si>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</si>
  <si>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</si>
  <si>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</si>
  <si>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</si>
  <si>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</si>
  <si>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</si>
  <si>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</si>
  <si>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</si>
  <si>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</si>
  <si>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</si>
  <si>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</si>
  <si>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</si>
  <si>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</si>
  <si>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</si>
  <si>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</si>
  <si>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</si>
  <si>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</si>
  <si>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</si>
  <si>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</si>
  <si>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</si>
  <si>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</si>
  <si>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</si>
  <si>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</si>
  <si>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</si>
  <si>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</si>
  <si>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</si>
  <si>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</si>
  <si>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</si>
  <si>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</si>
  <si>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</si>
  <si>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</si>
  <si>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</si>
  <si>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</si>
  <si>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</si>
  <si>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</si>
  <si>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</si>
  <si>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</si>
  <si>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</si>
  <si>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</si>
  <si>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</si>
  <si>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</si>
  <si>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</si>
  <si>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</si>
  <si>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</si>
  <si>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</si>
  <si>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</si>
  <si>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</si>
  <si>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</si>
  <si>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</si>
  <si>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</si>
  <si>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</si>
  <si>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</si>
  <si>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</si>
  <si>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</si>
  <si>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</si>
  <si>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</si>
  <si>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</si>
  <si>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</si>
  <si>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</si>
  <si>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</si>
  <si>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</si>
  <si>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</si>
  <si>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</si>
  <si>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</si>
  <si>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</si>
  <si>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</si>
  <si>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</si>
  <si>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</si>
  <si>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</si>
  <si>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</si>
  <si>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</si>
  <si>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</si>
  <si>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</si>
  <si>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</si>
  <si>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</si>
  <si>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</si>
  <si>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</si>
  <si>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</si>
  <si>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</si>
  <si>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</si>
  <si>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</si>
  <si>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</si>
  <si>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</si>
  <si>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</si>
  <si>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</si>
  <si>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</si>
  <si>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</si>
  <si>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</si>
  <si>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</si>
  <si>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</si>
  <si>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</si>
  <si>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</si>
  <si>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</si>
  <si>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</si>
  <si>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</si>
  <si>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</si>
  <si>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</si>
  <si>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</si>
  <si>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</si>
  <si>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</si>
  <si>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</si>
  <si>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</si>
  <si>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</si>
  <si>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</si>
  <si>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</si>
  <si>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</si>
  <si>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</si>
  <si>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</si>
  <si>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</si>
  <si>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</si>
  <si>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</si>
  <si>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</si>
  <si>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</si>
  <si>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</si>
  <si>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</si>
  <si>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</si>
  <si>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</si>
  <si>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</si>
  <si>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</si>
  <si>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</si>
  <si>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</si>
  <si>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</si>
  <si>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</si>
  <si>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</si>
  <si>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</si>
  <si>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</si>
  <si>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</si>
  <si>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</si>
  <si>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</si>
  <si>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</si>
  <si>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</si>
  <si>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</si>
  <si>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</si>
  <si>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</si>
  <si>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</si>
  <si>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</si>
  <si>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</si>
  <si>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</si>
  <si>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</si>
  <si>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</si>
  <si>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</si>
  <si>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</si>
  <si>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</si>
  <si>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</si>
  <si>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</si>
  <si>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</si>
  <si>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</si>
  <si>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</si>
  <si>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</si>
  <si>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</si>
  <si>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</si>
  <si>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</si>
  <si>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</si>
  <si>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</si>
  <si>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</si>
  <si>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</si>
  <si>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</si>
  <si>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</si>
  <si>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</si>
  <si>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</si>
  <si>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</si>
  <si>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</si>
  <si>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</si>
  <si>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</si>
  <si>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</si>
  <si>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</si>
  <si>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</si>
  <si>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</si>
  <si>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</si>
  <si>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</si>
  <si>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</si>
  <si>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</si>
  <si>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</si>
  <si>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</si>
  <si>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</si>
  <si>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</si>
  <si>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</si>
  <si>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</si>
  <si>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</si>
  <si>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</si>
  <si>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</si>
  <si>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</si>
  <si>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</si>
  <si>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</si>
  <si>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</si>
  <si>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</si>
  <si>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</si>
  <si>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</si>
  <si>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</si>
  <si>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</si>
  <si>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</si>
  <si>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</si>
  <si>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</si>
  <si>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</si>
  <si>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</si>
  <si>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</si>
  <si>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</si>
  <si>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</si>
  <si>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</si>
  <si>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</si>
  <si>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</si>
  <si>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</si>
  <si>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</si>
  <si>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</si>
  <si>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</si>
  <si>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</si>
  <si>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</si>
  <si>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</si>
  <si>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</si>
  <si>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</si>
  <si>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</si>
  <si>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</si>
  <si>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</si>
  <si>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</si>
  <si>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</si>
  <si>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</si>
  <si>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</si>
  <si>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</si>
  <si>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</si>
  <si>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</si>
  <si>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</si>
  <si>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</si>
  <si>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</si>
  <si>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</si>
  <si>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</si>
  <si>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</si>
  <si>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</si>
  <si>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</si>
  <si>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</si>
  <si>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</si>
  <si>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</si>
  <si>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</si>
  <si>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</si>
  <si>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</si>
  <si>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</si>
  <si>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</si>
  <si>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</si>
  <si>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</si>
  <si>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</si>
  <si>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</si>
  <si>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</si>
  <si>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</si>
  <si>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</si>
  <si>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</si>
  <si>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</si>
  <si>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</si>
  <si>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</si>
  <si>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</si>
  <si>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</si>
  <si>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</si>
  <si>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</si>
  <si>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</si>
  <si>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</si>
  <si>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</si>
  <si>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</si>
  <si>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</si>
  <si>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</si>
  <si>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</si>
  <si>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</si>
  <si>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</si>
  <si>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</si>
  <si>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</si>
  <si>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</si>
  <si>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</si>
  <si>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</si>
  <si>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</si>
  <si>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</si>
  <si>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</si>
  <si>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</si>
  <si>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</si>
  <si>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</si>
  <si>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</si>
  <si>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</si>
  <si>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</si>
  <si>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</si>
  <si>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</si>
  <si>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</si>
  <si>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</si>
  <si>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</si>
  <si>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</si>
  <si>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</si>
  <si>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</si>
  <si>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</si>
  <si>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</si>
  <si>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</si>
  <si>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</si>
  <si>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</si>
  <si>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</si>
  <si>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</si>
  <si>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</si>
  <si>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</si>
  <si>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</si>
  <si>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</si>
  <si>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</si>
  <si>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</si>
  <si>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</si>
  <si>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</si>
  <si>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</si>
  <si>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</si>
  <si>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</si>
  <si>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</si>
  <si>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</si>
  <si>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</si>
  <si>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</si>
  <si>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</si>
  <si>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</si>
  <si>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</si>
  <si>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</si>
  <si>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</si>
  <si>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</si>
  <si>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</si>
  <si>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</si>
  <si>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</si>
  <si>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</si>
  <si>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</si>
  <si>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</si>
  <si>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</si>
  <si>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</si>
  <si>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</si>
  <si>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</si>
  <si>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</si>
  <si>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</si>
  <si>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</si>
  <si>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</si>
  <si>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</si>
  <si>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</si>
  <si>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</si>
  <si>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</si>
  <si>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</si>
  <si>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</si>
  <si>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</si>
  <si>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</si>
  <si>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</si>
  <si>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</si>
  <si>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</si>
  <si>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</si>
  <si>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</si>
  <si>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</si>
  <si>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</si>
  <si>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</si>
  <si>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</si>
  <si>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</si>
  <si>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</si>
  <si>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</si>
  <si>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</si>
  <si>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</si>
  <si>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</si>
  <si>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</si>
  <si>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</si>
  <si>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</si>
  <si>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</si>
  <si>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</si>
  <si>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</si>
  <si>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</si>
  <si>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</si>
  <si>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</si>
  <si>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</si>
  <si>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</si>
  <si>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</si>
  <si>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</si>
  <si>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</si>
  <si>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</si>
  <si>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</si>
  <si>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</si>
  <si>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</si>
  <si>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</si>
  <si>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</si>
  <si>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</si>
  <si>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</si>
  <si>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</si>
  <si>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</si>
  <si>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</si>
  <si>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</si>
  <si>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</si>
  <si>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</si>
  <si>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</si>
  <si>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</si>
  <si>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</si>
  <si>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</si>
  <si>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</si>
  <si>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</si>
  <si>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</si>
  <si>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</si>
  <si>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</si>
  <si>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</si>
  <si>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</si>
  <si>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</si>
  <si>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</si>
  <si>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</si>
  <si>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</si>
  <si>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</si>
  <si>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</si>
  <si>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</si>
  <si>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</si>
  <si>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</si>
  <si>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</si>
  <si>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</si>
  <si>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</si>
  <si>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</si>
  <si>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</si>
  <si>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</si>
  <si>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</si>
  <si>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</si>
  <si>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</si>
  <si>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</si>
  <si>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</si>
  <si>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</si>
  <si>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</si>
  <si>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</si>
  <si>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</si>
  <si>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</si>
  <si>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</si>
  <si>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</si>
  <si>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</si>
  <si>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</si>
  <si>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</si>
  <si>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</si>
  <si>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</si>
  <si>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</si>
  <si>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</si>
  <si>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</si>
  <si>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</si>
  <si>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</si>
  <si>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</si>
  <si>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</si>
  <si>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</si>
  <si>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</si>
  <si>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</si>
  <si>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</si>
  <si>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</si>
  <si>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</si>
  <si>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</si>
  <si>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</si>
  <si>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</si>
  <si>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</si>
  <si>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</si>
  <si>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</si>
  <si>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</si>
  <si>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</si>
  <si>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</si>
  <si>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</si>
  <si>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</si>
  <si>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</si>
  <si>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</si>
  <si>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</si>
  <si>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</si>
  <si>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</si>
  <si>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</si>
  <si>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</si>
  <si>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</si>
  <si>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</si>
  <si>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</si>
  <si>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</si>
  <si>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</si>
  <si>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</si>
  <si>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</si>
  <si>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</si>
  <si>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</si>
  <si>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</si>
  <si>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</si>
  <si>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</si>
  <si>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</si>
  <si>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</si>
  <si>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</si>
  <si>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</si>
  <si>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</si>
  <si>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</si>
  <si>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</si>
  <si>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</si>
  <si>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</si>
  <si>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</si>
  <si>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</si>
  <si>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</si>
  <si>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</si>
  <si>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</si>
  <si>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</si>
  <si>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</si>
  <si>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</si>
  <si>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</si>
  <si>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</si>
  <si>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</si>
  <si>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</si>
  <si>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</si>
  <si>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</si>
  <si>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</si>
  <si>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</si>
  <si>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</si>
  <si>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</si>
  <si>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</si>
  <si>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</si>
  <si>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</si>
  <si>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</si>
  <si>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</si>
  <si>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</si>
  <si>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</si>
  <si>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</si>
  <si>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</si>
  <si>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</si>
  <si>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</si>
  <si>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</si>
  <si>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</si>
  <si>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</si>
  <si>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</si>
  <si>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</si>
  <si>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</si>
  <si>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</si>
  <si>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</si>
  <si>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</si>
  <si>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</si>
  <si>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</si>
  <si>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</si>
  <si>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</si>
  <si>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</si>
  <si>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</si>
  <si>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</si>
  <si>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</si>
  <si>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</si>
  <si>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</si>
  <si>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</si>
  <si>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</si>
  <si>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</si>
  <si>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</si>
  <si>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</si>
  <si>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</si>
  <si>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</si>
  <si>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</si>
  <si>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</si>
  <si>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</si>
  <si>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</si>
  <si>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</si>
  <si>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</si>
  <si>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</si>
  <si>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</si>
  <si>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</si>
  <si>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</si>
  <si>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</si>
  <si>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</si>
  <si>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</si>
  <si>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</si>
  <si>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</si>
  <si>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</si>
  <si>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</si>
  <si>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</si>
  <si>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</si>
  <si>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</si>
  <si>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</si>
  <si>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</si>
  <si>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</si>
  <si>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</si>
  <si>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</si>
  <si>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</si>
  <si>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</si>
  <si>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</si>
  <si>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</si>
  <si>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</si>
  <si>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</si>
  <si>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</si>
  <si>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</si>
  <si>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</si>
  <si>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</si>
  <si>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</si>
  <si>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</si>
  <si>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</si>
  <si>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</si>
  <si>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</si>
  <si>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</si>
  <si>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</si>
  <si>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</si>
  <si>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</si>
  <si>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</si>
  <si>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</si>
  <si>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</si>
  <si>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</si>
  <si>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</si>
  <si>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</si>
  <si>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</si>
  <si>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</si>
  <si>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</si>
  <si>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</si>
  <si>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</si>
  <si>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</si>
  <si>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</si>
  <si>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</si>
  <si>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</si>
  <si>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</si>
  <si>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</si>
  <si>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</si>
  <si>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</si>
  <si>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</si>
  <si>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</si>
  <si>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</si>
  <si>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</si>
  <si>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</si>
  <si>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</si>
  <si>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</si>
  <si>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</si>
  <si>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</si>
  <si>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</si>
  <si>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</si>
  <si>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</si>
  <si>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</si>
  <si>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</si>
  <si>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</si>
  <si>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</si>
  <si>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</si>
  <si>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</si>
  <si>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</si>
  <si>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</si>
  <si>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</si>
  <si>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</si>
  <si>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</si>
  <si>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</si>
  <si>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</si>
  <si>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</si>
  <si>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</si>
  <si>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</si>
  <si>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</si>
  <si>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</si>
  <si>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</si>
  <si>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</si>
  <si>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</si>
  <si>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</si>
  <si>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</si>
  <si>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</si>
  <si>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</si>
  <si>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</si>
  <si>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</si>
  <si>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</si>
  <si>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</si>
  <si>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</si>
  <si>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</si>
  <si>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</si>
  <si>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</si>
  <si>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</si>
  <si>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</si>
  <si>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</si>
  <si>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</si>
  <si>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</si>
  <si>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</si>
  <si>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</si>
  <si>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</si>
  <si>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</si>
  <si>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</si>
  <si>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</si>
  <si>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</si>
  <si>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</si>
  <si>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</si>
  <si>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</si>
  <si>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</si>
  <si>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</si>
  <si>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</si>
  <si>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</si>
  <si>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</si>
  <si>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</si>
  <si>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</si>
  <si>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</si>
  <si>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</si>
  <si>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</si>
  <si>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</si>
  <si>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</si>
  <si>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</si>
  <si>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</si>
  <si>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</si>
  <si>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</si>
  <si>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</si>
  <si>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</si>
  <si>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</si>
  <si>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</si>
  <si>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</si>
  <si>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</si>
  <si>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</si>
  <si>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</si>
  <si>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</si>
  <si>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</si>
  <si>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</si>
  <si>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</si>
  <si>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</si>
  <si>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</si>
  <si>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</si>
  <si>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</si>
  <si>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</si>
  <si>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</si>
  <si>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</si>
  <si>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</si>
  <si>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</si>
  <si>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</si>
  <si>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</si>
  <si>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</si>
  <si>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</si>
  <si>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</si>
  <si>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</si>
  <si>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</si>
  <si>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</si>
  <si>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</si>
  <si>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</si>
  <si>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</si>
  <si>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</si>
  <si>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</si>
  <si>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</si>
  <si>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</si>
  <si>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</si>
  <si>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</si>
  <si>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</si>
  <si>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</si>
  <si>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</si>
  <si>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</si>
  <si>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</si>
  <si>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</si>
  <si>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</si>
  <si>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</si>
  <si>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</si>
  <si>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</si>
  <si>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</si>
  <si>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</si>
  <si>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</si>
  <si>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</si>
  <si>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</si>
  <si>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</si>
  <si>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</si>
  <si>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</si>
  <si>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</si>
  <si>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</si>
  <si>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</si>
  <si>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</si>
  <si>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</si>
  <si>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</si>
  <si>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</si>
  <si>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</si>
  <si>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</si>
  <si>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</si>
  <si>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</si>
  <si>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</si>
  <si>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</si>
  <si>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</si>
  <si>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</si>
  <si>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</si>
  <si>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</si>
  <si>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</si>
  <si>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</si>
  <si>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</si>
  <si>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</si>
  <si>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</si>
  <si>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</si>
  <si>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</si>
  <si>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</si>
  <si>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</si>
  <si>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</si>
  <si>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</si>
  <si>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</si>
  <si>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</si>
  <si>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</si>
  <si>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</si>
  <si>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</si>
  <si>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</si>
  <si>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</si>
  <si>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</si>
  <si>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</si>
  <si>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</si>
  <si>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</si>
  <si>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</si>
  <si>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</si>
  <si>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</si>
  <si>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</si>
  <si>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</si>
  <si>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</si>
  <si>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</si>
  <si>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</si>
  <si>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</si>
  <si>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</si>
  <si>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</si>
  <si>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</si>
  <si>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</si>
  <si>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</si>
  <si>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</si>
  <si>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</si>
  <si>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</si>
  <si>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</si>
  <si>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</si>
  <si>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</si>
  <si>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</si>
  <si>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</si>
  <si>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</si>
  <si>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</si>
  <si>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</si>
  <si>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</si>
  <si>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</si>
  <si>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</si>
  <si>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</si>
  <si>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</si>
  <si>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</si>
  <si>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</si>
  <si>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</si>
  <si>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</si>
  <si>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</si>
  <si>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</si>
  <si>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</si>
  <si>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</si>
  <si>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</si>
  <si>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</si>
  <si>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</si>
  <si>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</si>
  <si>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</si>
  <si>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</si>
  <si>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</si>
  <si>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</si>
  <si>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</si>
  <si>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</si>
  <si>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</si>
  <si>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</si>
  <si>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</si>
  <si>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</si>
  <si>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</si>
  <si>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</si>
  <si>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</si>
  <si>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</si>
  <si>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</si>
  <si>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</si>
  <si>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</si>
  <si>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</si>
  <si>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</si>
  <si>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</si>
  <si>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</si>
  <si>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</si>
  <si>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</si>
  <si>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</si>
  <si>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</si>
  <si>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</si>
  <si>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</si>
  <si>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</si>
  <si>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</si>
  <si>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</si>
  <si>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</si>
  <si>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</si>
  <si>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</si>
  <si>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</si>
  <si>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</si>
  <si>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</si>
  <si>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</si>
  <si>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</si>
  <si>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</si>
  <si>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</si>
  <si>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</si>
  <si>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</si>
  <si>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</si>
  <si>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</si>
  <si>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</si>
  <si>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</si>
  <si>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</si>
  <si>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</si>
  <si>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</si>
  <si>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</si>
  <si>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</si>
  <si>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</si>
  <si>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</si>
  <si>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</si>
  <si>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</si>
  <si>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</si>
  <si>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</si>
  <si>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</si>
  <si>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</si>
  <si>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</si>
  <si>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</si>
  <si>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</si>
  <si>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</si>
  <si>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</si>
  <si>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</si>
  <si>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</si>
  <si>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</si>
  <si>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</si>
  <si>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</si>
  <si>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</si>
  <si>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</si>
  <si>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</si>
  <si>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</si>
  <si>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</si>
  <si>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</si>
  <si>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</si>
  <si>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</si>
  <si>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</si>
  <si>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</si>
  <si>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</si>
  <si>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</si>
  <si>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</si>
  <si>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</si>
  <si>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</si>
  <si>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</si>
  <si>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</si>
  <si>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</si>
  <si>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</si>
  <si>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</si>
  <si>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</si>
  <si>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</si>
  <si>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</si>
  <si>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</si>
  <si>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</si>
  <si>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</si>
  <si>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</si>
  <si>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</si>
  <si>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</si>
  <si>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</si>
  <si>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</si>
  <si>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</si>
  <si>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</si>
  <si>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</si>
  <si>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</si>
  <si>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</si>
  <si>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</si>
  <si>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</si>
  <si>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</si>
  <si>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</si>
  <si>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</si>
  <si>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</si>
  <si>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</si>
  <si>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</si>
  <si>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</si>
  <si>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</si>
  <si>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</si>
  <si>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</si>
  <si>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</si>
  <si>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</si>
  <si>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</si>
  <si>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</si>
  <si>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</si>
  <si>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</si>
  <si>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</si>
  <si>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</si>
  <si>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</si>
  <si>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</si>
  <si>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</si>
  <si>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</si>
  <si>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</si>
  <si>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</si>
  <si>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</si>
  <si>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</si>
  <si>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</si>
  <si>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</si>
  <si>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</si>
  <si>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</si>
  <si>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</si>
  <si>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</si>
  <si>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</si>
  <si>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</si>
  <si>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</si>
  <si>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</si>
  <si>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</si>
  <si>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</si>
  <si>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</si>
  <si>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</si>
  <si>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</si>
  <si>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</si>
  <si>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</si>
  <si>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</si>
  <si>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</si>
  <si>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</si>
  <si>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</si>
  <si>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</si>
  <si>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</si>
  <si>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</si>
  <si>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</si>
  <si>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</si>
  <si>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</si>
  <si>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</si>
  <si>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</si>
  <si>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</si>
  <si>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</si>
  <si>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</si>
  <si>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</si>
  <si>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</si>
  <si>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</si>
  <si>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</si>
  <si>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</si>
  <si>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</si>
  <si>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</si>
  <si>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</si>
  <si>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</si>
  <si>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</si>
  <si>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</si>
  <si>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</si>
  <si>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</si>
  <si>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</si>
  <si>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</si>
  <si>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</si>
  <si>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</si>
  <si>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</si>
  <si>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</si>
  <si>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</si>
  <si>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</si>
  <si>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</si>
  <si>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</si>
  <si>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</si>
  <si>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</si>
  <si>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</si>
  <si>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</si>
  <si>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</si>
  <si>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</si>
  <si>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</si>
  <si>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</si>
  <si>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</si>
  <si>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</si>
  <si>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</si>
  <si>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</si>
  <si>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</si>
  <si>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</si>
  <si>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</si>
  <si>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</si>
  <si>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</si>
  <si>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</si>
  <si>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</si>
  <si>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</si>
  <si>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</si>
  <si>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</si>
  <si>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</si>
  <si>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</si>
  <si>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</si>
  <si>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</si>
  <si>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</si>
  <si>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</si>
  <si>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</si>
  <si>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</si>
  <si>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</si>
  <si>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</si>
  <si>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</si>
  <si>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</si>
  <si>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</si>
  <si>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</si>
  <si>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</si>
  <si>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</si>
  <si>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</si>
  <si>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</si>
  <si>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</si>
  <si>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</si>
  <si>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</si>
  <si>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</si>
  <si>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</si>
  <si>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</si>
  <si>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</si>
  <si>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</si>
  <si>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</si>
  <si>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</si>
  <si>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</si>
  <si>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</si>
  <si>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</si>
  <si>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</si>
  <si>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</si>
  <si>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</si>
  <si>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</si>
  <si>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</si>
  <si>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</si>
  <si>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</si>
  <si>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</si>
  <si>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</si>
  <si>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</si>
  <si>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</si>
  <si>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</si>
  <si>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</si>
  <si>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</si>
  <si>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</si>
  <si>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</si>
  <si>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</si>
  <si>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</si>
  <si>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</si>
  <si>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</si>
  <si>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</si>
  <si>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</si>
  <si>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</si>
  <si>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</si>
  <si>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</si>
  <si>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</si>
  <si>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</si>
  <si>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</si>
  <si>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</si>
  <si>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</si>
  <si>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</si>
  <si>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</si>
  <si>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</si>
  <si>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</si>
  <si>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</si>
  <si>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</si>
  <si>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</si>
  <si>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</si>
  <si>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</si>
  <si>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</si>
  <si>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</si>
  <si>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</si>
  <si>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</si>
  <si>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</si>
  <si>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</si>
  <si>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</si>
  <si>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</si>
  <si>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</si>
  <si>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</si>
  <si>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</si>
  <si>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</si>
  <si>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</si>
  <si>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</si>
  <si>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</si>
  <si>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</si>
  <si>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</si>
  <si>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</si>
  <si>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</si>
  <si>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</si>
  <si>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</si>
  <si>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</si>
  <si>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</si>
  <si>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</si>
  <si>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</si>
  <si>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</si>
  <si>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</si>
  <si>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</si>
  <si>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</si>
  <si>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</si>
  <si>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</si>
  <si>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</si>
  <si>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</si>
  <si>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</si>
  <si>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</si>
  <si>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</si>
  <si>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</si>
  <si>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</si>
  <si>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</si>
  <si>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</si>
  <si>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</si>
  <si>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</si>
  <si>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</si>
  <si>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</si>
  <si>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</si>
  <si>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</si>
  <si>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</si>
  <si>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</si>
  <si>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</si>
  <si>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</si>
  <si>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</si>
  <si>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</si>
  <si>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</si>
  <si>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</si>
  <si>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</si>
  <si>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</si>
  <si>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</si>
  <si>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</si>
  <si>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</si>
  <si>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</si>
  <si>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</si>
  <si>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</si>
  <si>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</si>
  <si>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</si>
  <si>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</si>
  <si>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</si>
  <si>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</si>
  <si>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</si>
  <si>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</si>
  <si>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</si>
  <si>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</si>
  <si>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</si>
  <si>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</si>
  <si>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</si>
  <si>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</si>
  <si>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</si>
  <si>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</si>
  <si>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</si>
  <si>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</si>
  <si>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</si>
  <si>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</si>
  <si>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</si>
  <si>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</si>
  <si>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</si>
  <si>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</si>
  <si>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</si>
  <si>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</si>
  <si>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</si>
  <si>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</si>
  <si>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</si>
  <si>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</si>
  <si>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</si>
  <si>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</si>
  <si>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</si>
  <si>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</si>
  <si>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</si>
  <si>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</si>
  <si>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</si>
  <si>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</si>
  <si>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</si>
  <si>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</si>
  <si>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</si>
  <si>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</si>
  <si>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</si>
  <si>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</si>
  <si>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</si>
  <si>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</si>
  <si>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</si>
  <si>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</si>
  <si>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</si>
  <si>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</si>
  <si>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</si>
  <si>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</si>
  <si>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</si>
  <si>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</si>
  <si>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</si>
  <si>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</si>
  <si>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</si>
  <si>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</si>
  <si>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</si>
  <si>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</si>
  <si>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</si>
  <si>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</si>
  <si>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</si>
  <si>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</si>
  <si>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</si>
  <si>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</si>
  <si>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</si>
  <si>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</si>
  <si>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</si>
  <si>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</si>
  <si>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</si>
  <si>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</si>
  <si>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</si>
  <si>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</si>
  <si>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</si>
  <si>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</si>
  <si>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</si>
  <si>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</si>
  <si>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</si>
  <si>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</si>
  <si>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</si>
  <si>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</si>
  <si>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</si>
  <si>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</si>
  <si>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</si>
  <si>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</si>
  <si>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</si>
  <si>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</si>
  <si>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</si>
  <si>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</si>
  <si>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</si>
  <si>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</si>
  <si>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</si>
  <si>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</si>
  <si>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</si>
  <si>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</si>
  <si>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</si>
  <si>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</si>
  <si>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</si>
  <si>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</si>
  <si>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</si>
  <si>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</si>
  <si>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</si>
  <si>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</si>
  <si>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</si>
  <si>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</si>
  <si>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</si>
  <si>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</si>
  <si>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</si>
  <si>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</si>
  <si>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</si>
  <si>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</si>
  <si>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</si>
  <si>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</si>
  <si>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</si>
  <si>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</si>
  <si>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</si>
  <si>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</si>
  <si>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</si>
  <si>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</si>
  <si>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</si>
  <si>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</si>
  <si>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</si>
  <si>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</si>
  <si>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</si>
  <si>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</si>
  <si>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</si>
  <si>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</si>
  <si>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</si>
  <si>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</si>
  <si>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</si>
  <si>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</si>
  <si>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</si>
  <si>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</si>
  <si>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</si>
  <si>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</si>
  <si>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</si>
  <si>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</si>
  <si>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</si>
  <si>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</si>
  <si>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</si>
  <si>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</si>
  <si>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</si>
  <si>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</si>
  <si>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</si>
  <si>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</si>
  <si>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</si>
  <si>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</si>
  <si>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</si>
  <si>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</si>
  <si>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</si>
  <si>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</si>
  <si>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</si>
  <si>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</si>
  <si>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</si>
  <si>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</si>
  <si>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</si>
  <si>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</si>
  <si>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</si>
  <si>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</si>
  <si>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</si>
  <si>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</si>
  <si>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</si>
  <si>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</si>
  <si>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</si>
  <si>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</si>
  <si>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</si>
  <si>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</si>
  <si>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</si>
  <si>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</si>
  <si>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</si>
  <si>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</si>
  <si>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</si>
  <si>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</si>
  <si>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</si>
  <si>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</si>
  <si>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</si>
  <si>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</si>
  <si>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</si>
  <si>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</si>
  <si>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</si>
  <si>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</si>
  <si>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</si>
  <si>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</si>
  <si>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</si>
  <si>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</si>
  <si>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</si>
  <si>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</si>
  <si>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</si>
  <si>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</si>
  <si>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</si>
  <si>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</si>
  <si>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</si>
  <si>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</si>
  <si>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</si>
  <si>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</si>
  <si>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</si>
  <si>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</si>
  <si>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</si>
  <si>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</si>
  <si>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</si>
  <si>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</si>
  <si>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</si>
  <si>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</si>
  <si>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</si>
  <si>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</si>
  <si>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</si>
  <si>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</si>
  <si>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</si>
  <si>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</si>
  <si>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</si>
  <si>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</si>
  <si>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</si>
  <si>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</si>
  <si>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</si>
  <si>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</si>
  <si>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</si>
  <si>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</si>
  <si>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</si>
  <si>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</si>
  <si>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</si>
  <si>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</si>
  <si>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</si>
  <si>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</si>
  <si>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</si>
  <si>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</si>
  <si>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</si>
  <si>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</si>
  <si>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</si>
  <si>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</si>
  <si>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</si>
  <si>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</si>
  <si>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</si>
  <si>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</si>
  <si>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</si>
  <si>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</si>
  <si>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</si>
  <si>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</si>
  <si>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</si>
  <si>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</si>
  <si>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</si>
  <si>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</si>
  <si>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</si>
  <si>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</si>
  <si>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</si>
  <si>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</si>
  <si>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</si>
  <si>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</si>
  <si>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</si>
  <si>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</si>
  <si>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</si>
  <si>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</si>
  <si>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</si>
  <si>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</si>
  <si>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</si>
  <si>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</si>
  <si>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</si>
  <si>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</si>
  <si>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</si>
  <si>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</si>
  <si>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</si>
  <si>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</si>
  <si>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</si>
  <si>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</si>
  <si>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</si>
  <si>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</si>
  <si>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</si>
  <si>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</si>
  <si>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</si>
  <si>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</si>
  <si>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</si>
  <si>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</si>
  <si>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</si>
  <si>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</si>
  <si>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</si>
  <si>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</si>
  <si>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</si>
  <si>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</si>
  <si>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</si>
  <si>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</si>
  <si>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</si>
  <si>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</si>
  <si>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</si>
  <si>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</si>
  <si>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</si>
  <si>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</si>
  <si>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</si>
  <si>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</si>
  <si>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</si>
  <si>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</si>
  <si>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</si>
  <si>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</si>
  <si>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</si>
  <si>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</si>
  <si>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</si>
  <si>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</si>
  <si>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</si>
  <si>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</si>
  <si>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</si>
  <si>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</si>
  <si>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</si>
  <si>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</si>
  <si>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</si>
  <si>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</si>
  <si>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</si>
  <si>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</si>
  <si>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</si>
  <si>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</si>
  <si>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</si>
  <si>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</si>
  <si>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</si>
  <si>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</si>
  <si>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</si>
  <si>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</si>
  <si>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</si>
  <si>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</si>
  <si>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</si>
  <si>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</si>
  <si>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</si>
  <si>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</si>
  <si>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</si>
  <si>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</si>
  <si>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</si>
  <si>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</si>
  <si>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</si>
  <si>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</si>
  <si>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</si>
  <si>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</si>
  <si>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</si>
  <si>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</si>
  <si>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</si>
  <si>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</si>
  <si>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</si>
  <si>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</si>
  <si>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</si>
  <si>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</si>
  <si>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</si>
  <si>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</si>
  <si>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</si>
  <si>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</si>
  <si>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</si>
  <si>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</si>
  <si>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</si>
  <si>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</si>
  <si>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</si>
  <si>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</si>
  <si>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</si>
  <si>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</si>
  <si>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</si>
  <si>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</si>
  <si>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</si>
  <si>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</si>
  <si>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</si>
  <si>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</si>
  <si>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</si>
  <si>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</si>
  <si>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</si>
  <si>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</si>
  <si>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</si>
  <si>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</si>
  <si>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</si>
  <si>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</si>
  <si>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</si>
  <si>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</si>
  <si>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</si>
  <si>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</si>
  <si>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</si>
  <si>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</si>
  <si>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</si>
  <si>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</si>
  <si>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</si>
  <si>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</si>
  <si>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</si>
  <si>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</si>
  <si>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</si>
  <si>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</si>
  <si>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</si>
  <si>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</si>
  <si>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</si>
  <si>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</si>
  <si>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</si>
  <si>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</si>
  <si>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</si>
  <si>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</si>
  <si>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</si>
  <si>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</si>
  <si>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</si>
  <si>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</si>
  <si>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</si>
  <si>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</si>
  <si>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</si>
  <si>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</si>
  <si>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</si>
  <si>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</si>
  <si>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</si>
  <si>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</si>
  <si>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</si>
  <si>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</si>
  <si>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</si>
  <si>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</si>
  <si>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</si>
  <si>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</si>
  <si>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</si>
  <si>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</si>
  <si>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</si>
  <si>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</si>
  <si>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</si>
  <si>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</si>
  <si>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</si>
  <si>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</si>
  <si>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</si>
  <si>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</si>
  <si>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</si>
  <si>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</si>
  <si>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</si>
  <si>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</si>
  <si>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</si>
  <si>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</si>
  <si>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</si>
  <si>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</si>
  <si>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</si>
  <si>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</si>
  <si>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</si>
  <si>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</si>
  <si>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</si>
  <si>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</si>
  <si>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</si>
  <si>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</si>
  <si>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</si>
  <si>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</si>
  <si>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</si>
  <si>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</si>
  <si>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</si>
  <si>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</si>
  <si>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</si>
  <si>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</si>
  <si>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</si>
  <si>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</si>
  <si>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</si>
  <si>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</si>
  <si>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</si>
  <si>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</si>
  <si>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</si>
  <si>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</si>
  <si>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</si>
  <si>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</si>
  <si>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</si>
  <si>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</si>
  <si>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</si>
  <si>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</si>
  <si>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</si>
  <si>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</si>
  <si>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</si>
  <si>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</si>
  <si>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</si>
  <si>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</si>
  <si>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</si>
  <si>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</si>
  <si>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</si>
  <si>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</si>
  <si>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</si>
  <si>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</si>
  <si>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</si>
  <si>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</si>
  <si>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</si>
  <si>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</si>
  <si>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</si>
  <si>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</si>
  <si>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</si>
  <si>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</si>
  <si>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</si>
  <si>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</si>
  <si>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</si>
  <si>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</si>
  <si>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</si>
  <si>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</si>
  <si>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</si>
  <si>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</si>
  <si>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</si>
  <si>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</si>
  <si>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</si>
  <si>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</si>
  <si>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</si>
  <si>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</si>
  <si>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</si>
  <si>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</si>
  <si>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</si>
  <si>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</si>
  <si>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</si>
  <si>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</si>
  <si>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</si>
  <si>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</si>
  <si>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</si>
  <si>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</si>
  <si>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</si>
  <si>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</si>
  <si>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</si>
  <si>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</si>
  <si>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</si>
  <si>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</si>
  <si>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</si>
  <si>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</si>
  <si>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</si>
  <si>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</si>
  <si>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</si>
  <si>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</si>
  <si>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</si>
  <si>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</si>
  <si>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</si>
  <si>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</si>
  <si>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</si>
  <si>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</si>
  <si>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</si>
  <si>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</si>
  <si>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</si>
  <si>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</si>
  <si>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</si>
  <si>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</si>
  <si>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</si>
  <si>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</si>
  <si>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</si>
  <si>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</si>
  <si>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</si>
  <si>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</si>
  <si>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</si>
  <si>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</si>
  <si>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</si>
  <si>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</si>
  <si>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</si>
  <si>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</si>
  <si>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</si>
  <si>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</si>
  <si>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</si>
  <si>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</si>
  <si>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</si>
  <si>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</si>
  <si>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</si>
  <si>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</si>
  <si>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</si>
  <si>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</si>
  <si>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</si>
  <si>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</si>
  <si>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</si>
  <si>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</si>
  <si>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</si>
  <si>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</si>
  <si>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</si>
  <si>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</si>
  <si>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</si>
  <si>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</si>
  <si>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</si>
  <si>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</si>
  <si>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</si>
  <si>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</si>
  <si>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</si>
  <si>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</si>
  <si>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</si>
  <si>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</si>
  <si>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</si>
  <si>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</si>
  <si>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</si>
  <si>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</si>
  <si>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</si>
  <si>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</si>
  <si>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</si>
  <si>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</si>
  <si>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</si>
  <si>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</si>
  <si>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</si>
  <si>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</si>
  <si>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</si>
  <si>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</si>
  <si>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</si>
  <si>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</si>
  <si>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</si>
  <si>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</si>
  <si>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</si>
  <si>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</si>
  <si>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</si>
  <si>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</si>
  <si>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</si>
  <si>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</si>
  <si>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</si>
  <si>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</si>
  <si>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</si>
  <si>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</si>
  <si>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</si>
  <si>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</si>
  <si>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</si>
  <si>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</si>
  <si>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</si>
  <si>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</si>
  <si>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</si>
  <si>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</si>
  <si>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</si>
  <si>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</si>
  <si>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</si>
  <si>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</si>
  <si>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</si>
  <si>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</si>
  <si>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</si>
  <si>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</si>
  <si>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</si>
  <si>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</si>
  <si>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</si>
  <si>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</si>
  <si>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</si>
  <si>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</si>
  <si>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</si>
  <si>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</si>
  <si>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</si>
  <si>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</si>
  <si>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</si>
  <si>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</si>
  <si>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</si>
  <si>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</si>
  <si>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</si>
  <si>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</si>
  <si>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</si>
  <si>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</si>
  <si>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</si>
  <si>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</si>
  <si>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</si>
  <si>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</si>
  <si>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</si>
  <si>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</si>
  <si>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</si>
  <si>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</si>
  <si>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</si>
  <si>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</si>
  <si>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</si>
  <si>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</si>
  <si>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</si>
  <si>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</si>
  <si>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</si>
  <si>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</si>
  <si>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</si>
  <si>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</si>
  <si>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</si>
  <si>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</si>
  <si>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</si>
  <si>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</si>
  <si>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</si>
  <si>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</si>
  <si>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</si>
  <si>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</si>
  <si>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</si>
  <si>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</si>
  <si>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</si>
  <si>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</si>
  <si>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</si>
  <si>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</si>
  <si>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</si>
  <si>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</si>
  <si>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</si>
  <si>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</si>
  <si>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</si>
  <si>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</si>
  <si>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</si>
  <si>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</si>
  <si>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</si>
  <si>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</si>
  <si>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</si>
  <si>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</si>
  <si>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</si>
  <si>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</si>
  <si>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</si>
  <si>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</si>
  <si>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</si>
  <si>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</si>
  <si>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</si>
  <si>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</si>
  <si>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</si>
  <si>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</si>
  <si>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</si>
  <si>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</si>
  <si>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</si>
  <si>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</si>
  <si>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</si>
  <si>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</si>
  <si>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</si>
  <si>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</si>
  <si>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</si>
  <si>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</si>
  <si>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</si>
  <si>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</si>
  <si>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</si>
  <si>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</si>
  <si>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</si>
  <si>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</si>
  <si>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</si>
  <si>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</si>
  <si>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</si>
  <si>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</si>
  <si>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</si>
  <si>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</si>
  <si>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</si>
  <si>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</si>
  <si>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</si>
  <si>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</si>
  <si>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</si>
  <si>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</si>
  <si>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</si>
  <si>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</si>
  <si>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</si>
  <si>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</si>
  <si>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</si>
  <si>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</si>
  <si>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</si>
  <si>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</si>
  <si>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</si>
  <si>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</si>
  <si>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</si>
  <si>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</si>
  <si>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</si>
  <si>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</si>
  <si>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</si>
  <si>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</si>
  <si>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</si>
  <si>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</si>
  <si>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</si>
  <si>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</si>
  <si>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</si>
  <si>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</si>
  <si>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</si>
  <si>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</si>
  <si>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</si>
  <si>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</si>
  <si>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</si>
  <si>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</si>
  <si>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</si>
  <si>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</si>
  <si>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</si>
  <si>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</si>
  <si>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</si>
  <si>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</si>
  <si>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</si>
  <si>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</si>
  <si>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</si>
  <si>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</si>
  <si>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</si>
  <si>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</si>
  <si>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</si>
  <si>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</si>
  <si>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</si>
  <si>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</si>
  <si>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</si>
  <si>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</si>
  <si>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</si>
  <si>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</si>
  <si>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</si>
  <si>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</si>
  <si>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</si>
  <si>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</si>
  <si>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</si>
  <si>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</si>
  <si>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</si>
  <si>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</si>
  <si>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</si>
  <si>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</si>
  <si>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</si>
  <si>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</si>
  <si>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</si>
  <si>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</si>
  <si>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</si>
  <si>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</si>
  <si>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</si>
  <si>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</si>
  <si>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</si>
  <si>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</si>
  <si>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</si>
  <si>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</si>
  <si>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</si>
  <si>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</si>
  <si>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</si>
  <si>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</si>
  <si>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</si>
  <si>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</si>
  <si>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</si>
  <si>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</si>
  <si>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</si>
  <si>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</si>
  <si>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</si>
  <si>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</si>
  <si>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</si>
  <si>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</si>
  <si>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</si>
  <si>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</si>
  <si>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</si>
  <si>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</si>
  <si>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</si>
  <si>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</si>
  <si>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</si>
  <si>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</si>
  <si>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</si>
  <si>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</si>
  <si>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</si>
  <si>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</si>
  <si>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</si>
  <si>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</si>
  <si>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</si>
  <si>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</si>
  <si>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</si>
  <si>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</si>
  <si>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</si>
  <si>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</si>
  <si>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</si>
  <si>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</si>
  <si>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</si>
  <si>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</si>
  <si>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</si>
  <si>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</si>
  <si>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</si>
  <si>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</si>
  <si>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</si>
  <si>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</si>
  <si>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</si>
  <si>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</si>
  <si>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</si>
  <si>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</si>
  <si>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</si>
  <si>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</si>
  <si>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</si>
  <si>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</si>
  <si>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</si>
  <si>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</si>
  <si>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</si>
  <si>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</si>
  <si>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</si>
  <si>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</si>
  <si>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</si>
  <si>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</si>
  <si>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</si>
  <si>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</si>
  <si>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</si>
  <si>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</si>
  <si>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</si>
  <si>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</si>
  <si>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</si>
  <si>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</si>
  <si>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</si>
  <si>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</si>
  <si>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</si>
  <si>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</si>
  <si>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</si>
  <si>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</si>
  <si>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</si>
  <si>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</si>
  <si>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</si>
  <si>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</si>
  <si>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</si>
  <si>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</si>
  <si>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</si>
  <si>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</si>
  <si>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</si>
  <si>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</si>
  <si>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</si>
  <si>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</si>
  <si>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</si>
  <si>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</si>
  <si>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</si>
  <si>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</si>
  <si>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</si>
  <si>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</si>
  <si>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</si>
  <si>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</si>
  <si>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</si>
  <si>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</si>
  <si>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</si>
  <si>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</si>
  <si>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</si>
  <si>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</si>
  <si>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</si>
  <si>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</si>
  <si>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</si>
  <si>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</si>
  <si>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</si>
  <si>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</si>
  <si>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</si>
  <si>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</si>
  <si>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</si>
  <si>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</si>
  <si>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</si>
  <si>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</si>
  <si>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</si>
  <si>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</si>
  <si>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</si>
  <si>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</si>
  <si>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</si>
  <si>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</si>
  <si>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</si>
  <si>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</si>
  <si>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</si>
  <si>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</si>
  <si>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</si>
  <si>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</si>
  <si>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</si>
  <si>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</si>
  <si>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</si>
  <si>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</si>
  <si>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</si>
  <si>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</si>
  <si>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</si>
  <si>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</si>
  <si>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</si>
  <si>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</si>
  <si>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</si>
  <si>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</si>
  <si>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</si>
  <si>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</si>
  <si>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</si>
  <si>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</si>
  <si>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</si>
  <si>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</si>
  <si>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</si>
  <si>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</si>
  <si>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</si>
  <si>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</si>
  <si>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</si>
  <si>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</si>
  <si>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</si>
  <si>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</si>
  <si>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</si>
  <si>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</si>
  <si>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</si>
  <si>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</si>
  <si>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</si>
  <si>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</si>
  <si>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</si>
  <si>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</si>
  <si>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</si>
  <si>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</si>
  <si>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</si>
  <si>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</si>
  <si>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</si>
  <si>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</si>
  <si>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</si>
  <si>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</si>
  <si>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</si>
  <si>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</si>
  <si>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</si>
  <si>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</si>
  <si>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</si>
  <si>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</si>
  <si>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</si>
  <si>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</si>
  <si>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</si>
  <si>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</si>
  <si>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</si>
  <si>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</si>
  <si>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</si>
  <si>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</si>
  <si>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</si>
  <si>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</si>
  <si>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</si>
  <si>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</si>
  <si>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</si>
  <si>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</si>
  <si>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</si>
  <si>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</si>
  <si>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</si>
  <si>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</si>
  <si>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</si>
  <si>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</si>
  <si>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</si>
  <si>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</si>
  <si>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</si>
  <si>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</si>
  <si>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</si>
  <si>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</si>
  <si>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</si>
  <si>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</si>
  <si>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</si>
  <si>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</si>
  <si>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</si>
  <si>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</si>
  <si>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</si>
  <si>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</si>
  <si>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</si>
  <si>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</si>
  <si>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</si>
  <si>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</si>
  <si>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</si>
  <si>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</si>
  <si>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</si>
  <si>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</si>
  <si>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</si>
  <si>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</si>
  <si>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</si>
  <si>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</si>
  <si>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</si>
  <si>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</si>
  <si>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</si>
  <si>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</si>
  <si>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</si>
  <si>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</si>
  <si>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</si>
  <si>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</si>
  <si>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</si>
  <si>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</si>
  <si>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</si>
  <si>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</si>
  <si>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</si>
  <si>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</si>
  <si>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</si>
  <si>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</si>
  <si>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</si>
  <si>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</si>
  <si>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</si>
  <si>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</si>
  <si>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</si>
  <si>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</si>
  <si>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</si>
  <si>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</si>
  <si>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</si>
  <si>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</si>
  <si>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</si>
  <si>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</si>
  <si>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</si>
  <si>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</si>
  <si>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</si>
  <si>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</si>
  <si>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</si>
  <si>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</si>
  <si>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</si>
  <si>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</si>
  <si>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</si>
  <si>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</si>
  <si>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</si>
  <si>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</si>
  <si>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</si>
  <si>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</si>
  <si>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</si>
  <si>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</si>
  <si>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</si>
  <si>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</si>
  <si>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</si>
  <si>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</si>
  <si>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</si>
  <si>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</si>
  <si>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</si>
  <si>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</si>
  <si>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</si>
  <si>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</si>
  <si>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</si>
  <si>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</si>
  <si>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</si>
  <si>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</si>
  <si>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</si>
  <si>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</si>
  <si>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</si>
  <si>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</si>
  <si>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</si>
  <si>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</si>
  <si>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</si>
  <si>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</si>
  <si>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</si>
  <si>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</si>
  <si>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</si>
  <si>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</si>
  <si>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</si>
  <si>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</si>
  <si>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</si>
  <si>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</si>
  <si>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</si>
  <si>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</si>
  <si>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</si>
  <si>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</si>
  <si>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</si>
  <si>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</si>
  <si>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</si>
  <si>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</si>
  <si>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</si>
  <si>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</si>
  <si>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</si>
  <si>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</si>
  <si>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</si>
  <si>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</si>
  <si>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</si>
  <si>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</si>
  <si>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</si>
  <si>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</si>
  <si>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</si>
  <si>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</si>
  <si>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</si>
  <si>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</si>
  <si>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</si>
  <si>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</si>
  <si>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</si>
  <si>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</si>
  <si>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</si>
  <si>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</si>
  <si>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</si>
  <si>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</si>
  <si>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</si>
  <si>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</si>
  <si>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</si>
  <si>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</si>
  <si>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</si>
  <si>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</si>
  <si>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</si>
  <si>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</si>
  <si>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</si>
  <si>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</si>
  <si>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</si>
  <si>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</si>
  <si>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</si>
  <si>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</si>
  <si>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</si>
  <si>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</si>
  <si>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</si>
  <si>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</si>
  <si>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</si>
  <si>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</si>
  <si>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</si>
  <si>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</si>
  <si>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</si>
  <si>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</si>
  <si>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</si>
  <si>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</si>
  <si>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</si>
  <si>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</si>
  <si>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</si>
  <si>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</si>
  <si>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</si>
  <si>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</si>
  <si>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</si>
  <si>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</si>
  <si>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</si>
  <si>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</si>
  <si>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</si>
  <si>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</si>
  <si>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</si>
  <si>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</si>
  <si>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</si>
  <si>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</si>
  <si>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</si>
  <si>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</si>
  <si>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</si>
  <si>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</si>
  <si>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</si>
  <si>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</si>
  <si>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</si>
  <si>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</si>
  <si>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</si>
  <si>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</si>
  <si>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</si>
  <si>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</si>
  <si>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</si>
  <si>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</si>
  <si>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</si>
  <si>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</si>
  <si>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</si>
  <si>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</si>
  <si>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</si>
  <si>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</si>
  <si>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</si>
  <si>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</si>
  <si>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</si>
  <si>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</si>
  <si>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</si>
  <si>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</si>
  <si>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</si>
  <si>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</si>
  <si>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</si>
  <si>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</si>
  <si>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</si>
  <si>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</si>
  <si>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</si>
  <si>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</si>
  <si>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</si>
  <si>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</si>
  <si>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</si>
  <si>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</si>
  <si>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</si>
  <si>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</si>
  <si>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</si>
  <si>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</si>
  <si>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</si>
  <si>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</si>
  <si>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</si>
  <si>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</si>
  <si>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</si>
  <si>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</si>
  <si>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</si>
  <si>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</si>
  <si>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</si>
  <si>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</si>
  <si>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</si>
  <si>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</si>
  <si>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</si>
  <si>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</si>
  <si>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</si>
  <si>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</si>
  <si>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</si>
  <si>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</si>
  <si>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</si>
  <si>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</si>
  <si>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</si>
  <si>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</si>
  <si>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</si>
  <si>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</si>
  <si>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</si>
  <si>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</si>
  <si>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</si>
  <si>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</si>
  <si>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</si>
  <si>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</si>
  <si>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</si>
  <si>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</si>
  <si>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</si>
  <si>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</si>
  <si>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</si>
  <si>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</si>
  <si>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</si>
  <si>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</si>
  <si>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</si>
  <si>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</si>
  <si>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</si>
  <si>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</si>
  <si>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</si>
  <si>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</si>
  <si>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</si>
  <si>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</si>
  <si>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</si>
  <si>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</si>
  <si>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</si>
  <si>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</si>
  <si>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</si>
  <si>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</si>
  <si>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</si>
  <si>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</si>
  <si>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</si>
  <si>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</si>
  <si>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</si>
  <si>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</si>
  <si>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</si>
  <si>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</si>
  <si>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</si>
  <si>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</si>
  <si>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</si>
  <si>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</si>
  <si>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</si>
  <si>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</si>
  <si>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</si>
  <si>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</si>
  <si>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</si>
  <si>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</si>
  <si>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</si>
  <si>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</si>
  <si>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</si>
  <si>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</si>
  <si>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</si>
  <si>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</si>
  <si>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</si>
  <si>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</si>
  <si>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</si>
  <si>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</si>
  <si>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</si>
  <si>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</si>
  <si>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</si>
  <si>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</si>
  <si>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</si>
  <si>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</si>
  <si>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</si>
  <si>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</si>
  <si>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</si>
  <si>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</si>
  <si>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</si>
  <si>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</si>
  <si>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</si>
  <si>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</si>
  <si>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</si>
  <si>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</si>
  <si>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</si>
  <si>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</si>
  <si>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</si>
  <si>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</si>
  <si>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</si>
  <si>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</si>
  <si>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</si>
  <si>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</si>
  <si>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</si>
  <si>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</si>
  <si>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</si>
  <si>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</si>
  <si>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</si>
  <si>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</si>
  <si>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</si>
  <si>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</si>
  <si>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</si>
  <si>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</si>
  <si>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</si>
  <si>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</si>
  <si>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</si>
  <si>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</si>
  <si>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</si>
  <si>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</si>
  <si>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</si>
  <si>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</si>
  <si>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</si>
  <si>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</si>
  <si>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</si>
  <si>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</si>
  <si>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</si>
  <si>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</si>
  <si>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</si>
  <si>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</si>
  <si>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</si>
  <si>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</si>
  <si>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</si>
  <si>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</si>
  <si>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</si>
  <si>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</si>
  <si>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</si>
  <si>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</si>
  <si>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</si>
  <si>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</si>
  <si>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</si>
  <si>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</si>
  <si>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</si>
  <si>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</si>
  <si>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</si>
  <si>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</si>
  <si>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</si>
  <si>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</si>
  <si>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</si>
  <si>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</si>
  <si>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</si>
  <si>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</si>
  <si>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</si>
  <si>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</si>
  <si>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</si>
  <si>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</si>
  <si>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</si>
  <si>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</si>
  <si>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</si>
  <si>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</si>
  <si>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</si>
  <si>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</si>
  <si>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</si>
  <si>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</si>
  <si>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</si>
  <si>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</si>
  <si>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</si>
  <si>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</si>
  <si>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</si>
  <si>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</si>
  <si>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</si>
  <si>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</si>
  <si>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</si>
  <si>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</si>
  <si>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</si>
  <si>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</si>
  <si>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</si>
  <si>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</si>
  <si>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</si>
  <si>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</si>
  <si>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</si>
  <si>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</si>
  <si>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</si>
  <si>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</si>
  <si>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</si>
  <si>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</si>
  <si>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</si>
  <si>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</si>
  <si>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</si>
  <si>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</si>
  <si>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</si>
  <si>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</si>
  <si>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</si>
  <si>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</si>
  <si>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</si>
  <si>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</si>
  <si>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</si>
  <si>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</si>
  <si>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</si>
  <si>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</si>
  <si>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</si>
  <si>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</si>
  <si>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</si>
  <si>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</si>
  <si>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</si>
  <si>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</si>
  <si>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</si>
  <si>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</si>
  <si>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</si>
  <si>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</si>
  <si>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</si>
  <si>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</si>
  <si>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</si>
  <si>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</si>
  <si>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</si>
  <si>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</si>
  <si>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</si>
  <si>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</si>
  <si>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</si>
  <si>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</si>
  <si>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</si>
  <si>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</si>
  <si>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</si>
  <si>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</si>
  <si>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</si>
  <si>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</si>
  <si>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</si>
  <si>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</si>
  <si>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</si>
  <si>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</si>
  <si>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</si>
  <si>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</si>
  <si>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</si>
  <si>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</si>
  <si>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</si>
  <si>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</si>
  <si>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</si>
  <si>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</si>
  <si>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</si>
  <si>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</si>
  <si>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</si>
  <si>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</si>
  <si>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</si>
  <si>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</si>
  <si>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</si>
  <si>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</si>
  <si>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</si>
  <si>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</si>
  <si>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</si>
  <si>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</si>
  <si>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</si>
  <si>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</si>
  <si>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</si>
  <si>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</si>
  <si>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</si>
  <si>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</si>
  <si>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</si>
  <si>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</si>
  <si>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</si>
  <si>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</si>
  <si>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</si>
  <si>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</si>
  <si>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</si>
  <si>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</si>
  <si>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</si>
  <si>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</si>
  <si>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</si>
  <si>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</si>
  <si>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</si>
  <si>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</si>
  <si>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</si>
  <si>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</si>
  <si>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</si>
  <si>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</si>
  <si>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</si>
  <si>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</si>
  <si>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</si>
  <si>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</si>
  <si>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</si>
  <si>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</si>
  <si>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</si>
  <si>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</si>
  <si>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</si>
  <si>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</si>
  <si>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</si>
  <si>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</si>
  <si>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</si>
  <si>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</si>
  <si>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</si>
  <si>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</si>
  <si>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</si>
  <si>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</si>
  <si>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</si>
  <si>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</si>
  <si>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</si>
  <si>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</si>
  <si>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</si>
  <si>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</si>
  <si>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</si>
  <si>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</si>
  <si>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</si>
  <si>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</si>
  <si>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</si>
  <si>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</si>
  <si>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</si>
  <si>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</si>
  <si>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</si>
  <si>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</si>
  <si>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</si>
  <si>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</si>
  <si>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</si>
  <si>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</si>
  <si>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</si>
  <si>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</si>
  <si>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</si>
  <si>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</si>
  <si>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</si>
  <si>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</si>
  <si>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</si>
  <si>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</si>
  <si>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</si>
  <si>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</si>
  <si>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</si>
  <si>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</si>
  <si>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</si>
  <si>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</si>
  <si>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</si>
  <si>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</si>
  <si>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</si>
  <si>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</si>
  <si>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</si>
  <si>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</si>
  <si>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</si>
  <si>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</si>
  <si>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</si>
  <si>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</si>
  <si>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</si>
  <si>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</si>
  <si>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</si>
  <si>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</si>
  <si>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</si>
  <si>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</si>
  <si>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</si>
  <si>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</si>
  <si>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</si>
  <si>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</si>
  <si>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</si>
  <si>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</si>
  <si>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</si>
  <si>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</si>
  <si>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</si>
  <si>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</si>
  <si>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</si>
  <si>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</si>
  <si>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</si>
  <si>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</si>
  <si>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</si>
  <si>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</si>
  <si>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</si>
  <si>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</si>
  <si>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</si>
  <si>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</si>
  <si>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</si>
  <si>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</si>
  <si>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</si>
  <si>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</si>
  <si>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</si>
  <si>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</si>
  <si>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</si>
  <si>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</si>
  <si>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</si>
  <si>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</si>
  <si>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</si>
  <si>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</si>
  <si>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</si>
  <si>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</si>
  <si>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</si>
  <si>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</si>
  <si>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</si>
  <si>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</si>
  <si>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</si>
  <si>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</si>
  <si>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</si>
  <si>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</si>
  <si>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</si>
  <si>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</si>
  <si>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</si>
  <si>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</si>
  <si>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</si>
  <si>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</si>
  <si>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</si>
  <si>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</si>
  <si>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</si>
  <si>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</si>
  <si>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</si>
  <si>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</si>
  <si>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</si>
  <si>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</si>
  <si>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</si>
  <si>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</si>
  <si>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</si>
  <si>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</si>
  <si>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</si>
  <si>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</si>
  <si>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</si>
  <si>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</si>
  <si>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</si>
  <si>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</si>
  <si>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</si>
  <si>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</si>
  <si>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</si>
  <si>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</si>
  <si>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</si>
  <si>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</si>
  <si>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</si>
  <si>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</si>
  <si>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</si>
  <si>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</si>
  <si>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</si>
  <si>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</si>
  <si>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</si>
  <si>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</si>
  <si>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</si>
  <si>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</si>
  <si>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</si>
  <si>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</si>
  <si>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</si>
  <si>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</si>
  <si>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</si>
  <si>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</si>
  <si>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</si>
  <si>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</si>
  <si>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</si>
  <si>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</si>
  <si>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</si>
  <si>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</si>
  <si>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</si>
  <si>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</si>
  <si>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</si>
  <si>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</si>
  <si>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</si>
  <si>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</si>
  <si>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</si>
  <si>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</si>
  <si>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</si>
  <si>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</si>
  <si>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</si>
  <si>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</si>
  <si>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</si>
  <si>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</si>
  <si>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</si>
  <si>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</si>
  <si>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</si>
  <si>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</si>
  <si>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</si>
  <si>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</si>
  <si>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</si>
  <si>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</si>
  <si>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</si>
  <si>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</si>
  <si>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</si>
  <si>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</si>
  <si>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</si>
  <si>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</si>
  <si>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</si>
  <si>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</si>
  <si>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</si>
  <si>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</si>
  <si>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</si>
  <si>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</si>
  <si>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</si>
  <si>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</si>
  <si>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</si>
  <si>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</si>
  <si>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</si>
  <si>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</si>
  <si>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</si>
  <si>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</si>
  <si>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</si>
  <si>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</si>
  <si>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</si>
  <si>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</si>
  <si>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</si>
  <si>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</si>
  <si>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</si>
  <si>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</si>
  <si>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</si>
  <si>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</si>
  <si>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</si>
  <si>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</si>
  <si>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</si>
  <si>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</si>
  <si>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</si>
  <si>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</si>
  <si>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</si>
  <si>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</si>
  <si>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</si>
  <si>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</si>
  <si>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</si>
  <si>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</si>
  <si>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</si>
  <si>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</si>
  <si>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</si>
  <si>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</si>
  <si>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</si>
  <si>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</si>
  <si>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</si>
  <si>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</si>
  <si>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</si>
  <si>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</si>
  <si>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</si>
  <si>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</si>
  <si>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</si>
  <si>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</si>
  <si>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</si>
  <si>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</si>
  <si>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</si>
  <si>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</si>
  <si>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</si>
  <si>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</si>
  <si>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</si>
  <si>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</si>
  <si>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</si>
  <si>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</si>
  <si>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</si>
  <si>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</si>
  <si>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</si>
  <si>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</si>
  <si>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</si>
  <si>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</si>
  <si>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</si>
  <si>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</si>
  <si>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</si>
  <si>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</si>
  <si>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</si>
  <si>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</si>
  <si>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</si>
  <si>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</si>
  <si>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</si>
  <si>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</si>
  <si>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</si>
  <si>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</si>
  <si>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</si>
  <si>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</si>
  <si>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</si>
  <si>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</si>
  <si>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</si>
  <si>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</si>
  <si>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</si>
  <si>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</si>
  <si>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</si>
  <si>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</si>
  <si>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</si>
  <si>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</si>
  <si>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</si>
  <si>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</si>
  <si>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</si>
  <si>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</si>
  <si>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</si>
  <si>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</si>
  <si>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</si>
  <si>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</si>
  <si>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</si>
  <si>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</si>
  <si>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</si>
  <si>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</si>
  <si>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</si>
  <si>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</si>
  <si>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</si>
  <si>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</si>
  <si>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</si>
  <si>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</si>
  <si>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</si>
  <si>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</si>
  <si>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</si>
  <si>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</si>
  <si>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</si>
  <si>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</si>
  <si>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</si>
  <si>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</si>
  <si>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</si>
  <si>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</si>
  <si>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</si>
  <si>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</si>
  <si>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</si>
  <si>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</si>
  <si>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</si>
  <si>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</si>
  <si>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</si>
  <si>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</si>
  <si>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</si>
  <si>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</si>
  <si>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</si>
  <si>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</si>
  <si>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</si>
  <si>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</si>
  <si>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</si>
  <si>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</si>
  <si>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</si>
  <si>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</si>
  <si>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</si>
  <si>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</si>
  <si>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</si>
  <si>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</si>
  <si>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</si>
  <si>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</si>
  <si>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</si>
  <si>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</si>
  <si>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</si>
  <si>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</si>
  <si>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</si>
  <si>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</si>
  <si>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</si>
  <si>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</si>
  <si>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</si>
  <si>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</si>
  <si>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</si>
  <si>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</si>
  <si>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</si>
  <si>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</si>
  <si>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</si>
  <si>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</si>
  <si>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</si>
  <si>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</si>
  <si>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</si>
  <si>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</si>
  <si>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</si>
  <si>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</si>
  <si>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</si>
  <si>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</si>
  <si>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</si>
  <si>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</si>
  <si>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</si>
  <si>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</si>
  <si>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</si>
  <si>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</si>
  <si>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</si>
  <si>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</si>
  <si>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</si>
  <si>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</si>
  <si>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</si>
  <si>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</si>
  <si>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</si>
  <si>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</si>
  <si>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</si>
  <si>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</si>
  <si>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</si>
  <si>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</si>
  <si>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</si>
  <si>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</si>
  <si>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</si>
  <si>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</si>
  <si>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</si>
  <si>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</si>
  <si>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</si>
  <si>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</si>
  <si>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</si>
  <si>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</si>
  <si>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</si>
  <si>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</si>
  <si>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</si>
  <si>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</si>
  <si>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</si>
  <si>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</si>
  <si>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</si>
  <si>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</si>
  <si>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</si>
  <si>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</si>
  <si>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</si>
  <si>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</si>
  <si>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</si>
  <si>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</si>
  <si>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</si>
  <si>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</si>
  <si>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</si>
  <si>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</si>
  <si>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</si>
  <si>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</si>
  <si>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</si>
  <si>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</si>
  <si>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</si>
  <si>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</si>
  <si>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</si>
  <si>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</si>
  <si>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</si>
  <si>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</si>
  <si>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</si>
  <si>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</si>
  <si>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</si>
  <si>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</si>
  <si>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</si>
  <si>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</si>
  <si>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</si>
  <si>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</si>
  <si>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</si>
  <si>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</si>
  <si>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</si>
  <si>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</si>
  <si>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</si>
  <si>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</si>
  <si>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</si>
  <si>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</si>
  <si>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</si>
  <si>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</si>
  <si>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</si>
  <si>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</si>
  <si>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</si>
  <si>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</si>
  <si>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</si>
  <si>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</si>
  <si>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</si>
  <si>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</si>
  <si>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</si>
  <si>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</si>
  <si>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</si>
  <si>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</si>
  <si>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</si>
  <si>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</si>
  <si>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</si>
  <si>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</si>
  <si>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</si>
  <si>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</si>
  <si>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</si>
  <si>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</si>
  <si>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</si>
  <si>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</si>
  <si>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</si>
  <si>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</si>
  <si>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</si>
  <si>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</si>
  <si>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</si>
  <si>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</si>
  <si>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</si>
  <si>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</si>
  <si>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</si>
  <si>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</si>
  <si>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</si>
  <si>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</si>
  <si>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</si>
  <si>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</si>
  <si>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</si>
  <si>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</si>
  <si>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</si>
  <si>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</si>
  <si>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</si>
  <si>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</si>
  <si>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</si>
  <si>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</si>
  <si>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</si>
  <si>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</si>
  <si>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</si>
  <si>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</si>
  <si>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</si>
  <si>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</si>
  <si>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</si>
  <si>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</si>
  <si>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</si>
  <si>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</si>
  <si>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</si>
  <si>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</si>
  <si>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</si>
  <si>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</si>
  <si>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</si>
  <si>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</si>
  <si>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</si>
  <si>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</si>
  <si>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</si>
  <si>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</si>
  <si>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</si>
  <si>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</si>
  <si>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</si>
  <si>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</si>
  <si>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</si>
  <si>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</si>
  <si>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</si>
  <si>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</si>
  <si>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</si>
  <si>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</si>
  <si>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</si>
  <si>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</si>
  <si>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</si>
  <si>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</si>
  <si>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</si>
  <si>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</si>
  <si>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</si>
  <si>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</si>
  <si>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</si>
  <si>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</si>
  <si>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</si>
  <si>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</si>
  <si>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</si>
  <si>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</si>
  <si>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</si>
  <si>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</si>
  <si>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</si>
  <si>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</si>
  <si>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</si>
  <si>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</si>
  <si>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</si>
  <si>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</si>
  <si>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</si>
  <si>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</si>
  <si>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</si>
  <si>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</si>
  <si>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</si>
  <si>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</si>
  <si>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</si>
  <si>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</si>
  <si>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</si>
  <si>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</si>
  <si>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</si>
  <si>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</si>
  <si>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</si>
  <si>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</si>
  <si>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</si>
  <si>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</si>
  <si>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</si>
  <si>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</si>
  <si>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</si>
  <si>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</si>
  <si>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</si>
  <si>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</si>
  <si>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</si>
  <si>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</si>
  <si>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</si>
  <si>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</si>
  <si>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</si>
  <si>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</si>
  <si>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</si>
  <si>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</si>
  <si>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</si>
  <si>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</si>
  <si>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</si>
  <si>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</si>
  <si>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</si>
  <si>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</si>
  <si>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</si>
  <si>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</si>
  <si>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</si>
  <si>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</si>
  <si>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</si>
  <si>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</si>
  <si>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</si>
  <si>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</si>
  <si>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</si>
  <si>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</si>
  <si>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</si>
  <si>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</si>
  <si>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</si>
  <si>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</si>
  <si>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</si>
  <si>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</si>
  <si>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</si>
  <si>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</si>
  <si>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</si>
  <si>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</si>
  <si>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</si>
  <si>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</si>
  <si>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</si>
  <si>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</si>
  <si>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</si>
  <si>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</si>
  <si>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</si>
  <si>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</si>
  <si>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</si>
  <si>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</si>
  <si>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</si>
  <si>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</si>
  <si>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</si>
  <si>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</si>
  <si>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</si>
  <si>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</si>
  <si>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</si>
  <si>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</si>
  <si>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</si>
  <si>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</si>
  <si>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</si>
  <si>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</si>
  <si>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</si>
  <si>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</si>
  <si>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</si>
  <si>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</si>
  <si>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</si>
  <si>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</si>
  <si>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</si>
  <si>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</si>
  <si>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</si>
  <si>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</si>
  <si>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</si>
  <si>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</si>
  <si>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</si>
  <si>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</si>
  <si>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</si>
  <si>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</si>
  <si>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</si>
  <si>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</si>
  <si>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</si>
  <si>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</si>
  <si>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</si>
  <si>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</si>
  <si>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</si>
  <si>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</si>
  <si>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</si>
  <si>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</si>
  <si>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</si>
  <si>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</si>
  <si>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</si>
  <si>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</si>
  <si>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</si>
  <si>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</si>
  <si>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</si>
  <si>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</si>
  <si>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</si>
  <si>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</si>
  <si>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</si>
  <si>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</si>
  <si>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</si>
  <si>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</si>
  <si>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</si>
  <si>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</si>
  <si>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</si>
  <si>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</si>
  <si>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</si>
  <si>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</si>
  <si>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</si>
  <si>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</si>
  <si>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</si>
  <si>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</si>
  <si>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</si>
  <si>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</si>
  <si>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</si>
  <si>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</si>
  <si>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</si>
  <si>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</si>
  <si>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</si>
  <si>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</si>
  <si>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</si>
  <si>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</si>
  <si>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</si>
  <si>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</si>
  <si>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</si>
  <si>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</si>
  <si>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</si>
  <si>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</si>
  <si>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</si>
  <si>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</si>
  <si>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</si>
  <si>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</si>
  <si>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</si>
  <si>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</si>
  <si>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</si>
  <si>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</si>
  <si>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</si>
  <si>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</si>
  <si>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</si>
  <si>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</si>
  <si>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</si>
  <si>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</si>
  <si>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</si>
  <si>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</si>
  <si>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</si>
  <si>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</si>
  <si>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</si>
  <si>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</si>
  <si>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</si>
  <si>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</si>
  <si>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</si>
  <si>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</si>
  <si>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</si>
  <si>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</si>
  <si>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</si>
  <si>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</si>
  <si>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</si>
  <si>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</si>
  <si>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</si>
  <si>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</si>
  <si>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</si>
  <si>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</si>
  <si>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</si>
  <si>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</si>
  <si>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</si>
  <si>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</si>
  <si>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</si>
  <si>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</si>
  <si>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</si>
  <si>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</si>
  <si>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</si>
  <si>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</si>
  <si>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</si>
  <si>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</si>
  <si>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</si>
  <si>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</si>
  <si>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</si>
  <si>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</si>
  <si>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</si>
  <si>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</si>
  <si>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</si>
  <si>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</si>
  <si>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</si>
  <si>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</si>
  <si>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</si>
  <si>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</si>
  <si>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</si>
  <si>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</si>
  <si>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</si>
  <si>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</si>
  <si>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</si>
  <si>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</si>
  <si>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</si>
  <si>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</si>
  <si>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</si>
  <si>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</si>
  <si>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</si>
  <si>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</si>
  <si>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</si>
  <si>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</si>
  <si>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</si>
  <si>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</si>
  <si>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</si>
  <si>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</si>
  <si>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</si>
  <si>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</si>
  <si>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</si>
  <si>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</si>
  <si>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</si>
  <si>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</si>
  <si>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</si>
  <si>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</si>
  <si>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</si>
  <si>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</si>
  <si>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</si>
  <si>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</si>
  <si>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</si>
  <si>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</si>
  <si>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</si>
  <si>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</si>
  <si>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</si>
  <si>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</si>
  <si>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</si>
  <si>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</si>
  <si>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</si>
  <si>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</si>
  <si>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</si>
  <si>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</si>
  <si>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</si>
  <si>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</si>
  <si>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</si>
  <si>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</si>
  <si>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</si>
  <si>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</si>
  <si>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</si>
  <si>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</si>
  <si>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</si>
  <si>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</si>
  <si>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</si>
  <si>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</si>
  <si>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</si>
  <si>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</si>
  <si>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</si>
  <si>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</si>
  <si>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</si>
  <si>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</si>
  <si>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</si>
  <si>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</si>
  <si>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</si>
  <si>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</si>
  <si>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</si>
  <si>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</si>
  <si>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</si>
  <si>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</si>
  <si>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</si>
  <si>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</si>
  <si>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</si>
  <si>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</si>
  <si>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</si>
  <si>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</si>
  <si>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</si>
  <si>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</si>
  <si>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</si>
  <si>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</si>
  <si>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</si>
  <si>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</si>
  <si>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</si>
  <si>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</si>
  <si>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</si>
  <si>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</si>
  <si>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</si>
  <si>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</si>
  <si>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</si>
  <si>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</si>
  <si>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</si>
  <si>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</si>
  <si>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</si>
  <si>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</si>
  <si>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</si>
  <si>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</si>
  <si>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</si>
  <si>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</si>
  <si>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</si>
  <si>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</si>
  <si>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</si>
  <si>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</si>
  <si>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</si>
  <si>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</si>
  <si>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</si>
  <si>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</si>
  <si>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</si>
  <si>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</si>
  <si>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</si>
  <si>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</si>
  <si>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</si>
  <si>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</si>
  <si>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</si>
  <si>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</si>
  <si>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</si>
  <si>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</si>
  <si>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</si>
  <si>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</si>
  <si>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</si>
  <si>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</si>
  <si>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</si>
  <si>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</si>
  <si>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</si>
  <si>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</si>
  <si>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</si>
  <si>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</si>
  <si>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</si>
  <si>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</si>
  <si>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</si>
  <si>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</si>
  <si>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</si>
  <si>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</si>
  <si>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</si>
  <si>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</si>
  <si>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</si>
  <si>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</si>
  <si>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</si>
  <si>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</si>
  <si>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</si>
  <si>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</si>
  <si>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</si>
  <si>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</si>
  <si>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</si>
  <si>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</si>
  <si>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</si>
  <si>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</si>
  <si>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</si>
  <si>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</si>
  <si>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</si>
  <si>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</si>
  <si>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</si>
  <si>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</si>
  <si>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</si>
  <si>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</si>
  <si>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</si>
  <si>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</si>
  <si>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</si>
  <si>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</si>
  <si>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</si>
  <si>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</si>
  <si>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</si>
  <si>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</si>
  <si>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</si>
  <si>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</si>
  <si>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</si>
  <si>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</si>
  <si>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</si>
  <si>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</si>
  <si>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</si>
  <si>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</si>
  <si>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</si>
  <si>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</si>
  <si>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</si>
  <si>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</si>
  <si>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</si>
  <si>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</si>
  <si>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</si>
  <si>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</si>
  <si>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</si>
  <si>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</si>
  <si>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</si>
  <si>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</si>
  <si>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</si>
  <si>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</si>
  <si>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</si>
  <si>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</si>
  <si>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</si>
  <si>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</si>
  <si>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</si>
  <si>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</si>
  <si>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</si>
  <si>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</si>
  <si>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</si>
  <si>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</si>
  <si>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</si>
  <si>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</si>
  <si>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</si>
  <si>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</si>
  <si>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</si>
  <si>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</si>
  <si>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</si>
  <si>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</si>
  <si>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</si>
  <si>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</si>
  <si>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</si>
  <si>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</si>
  <si>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</si>
  <si>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</si>
  <si>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</si>
  <si>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</si>
  <si>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</si>
  <si>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</si>
  <si>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</si>
  <si>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</si>
  <si>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</si>
  <si>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</si>
  <si>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</si>
  <si>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</si>
  <si>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</si>
  <si>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</si>
  <si>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</si>
  <si>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</si>
  <si>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</si>
  <si>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</si>
  <si>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</si>
  <si>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</si>
  <si>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</si>
  <si>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</si>
  <si>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</si>
  <si>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</si>
  <si>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</si>
  <si>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</si>
  <si>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</si>
  <si>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</si>
  <si>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</si>
  <si>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</si>
  <si>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</si>
  <si>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</si>
  <si>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</si>
  <si>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</si>
  <si>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</si>
  <si>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</si>
  <si>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</si>
  <si>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</si>
  <si>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</si>
  <si>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</si>
  <si>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</si>
  <si>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</si>
  <si>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</si>
  <si>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</si>
  <si>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</si>
  <si>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</si>
  <si>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</si>
  <si>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</si>
  <si>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</si>
  <si>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</si>
  <si>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</si>
  <si>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</si>
  <si>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</si>
  <si>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</si>
  <si>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</si>
  <si>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</si>
  <si>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</si>
  <si>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</si>
  <si>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</si>
  <si>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</si>
  <si>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</si>
  <si>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</si>
  <si>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</si>
  <si>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</si>
  <si>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</si>
  <si>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</si>
  <si>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</si>
  <si>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</si>
  <si>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</si>
  <si>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</si>
  <si>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</si>
  <si>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</si>
  <si>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</si>
  <si>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</si>
  <si>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</si>
  <si>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</si>
  <si>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</si>
  <si>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</si>
  <si>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</si>
  <si>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</si>
  <si>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</si>
  <si>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</si>
  <si>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</si>
  <si>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</si>
  <si>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</si>
  <si>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</si>
  <si>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</si>
  <si>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</si>
  <si>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</si>
  <si>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</si>
  <si>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</si>
  <si>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</si>
  <si>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</si>
  <si>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</si>
  <si>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</si>
  <si>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</si>
  <si>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</si>
  <si>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</si>
  <si>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</si>
  <si>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</si>
  <si>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</si>
  <si>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</si>
  <si>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</si>
  <si>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</si>
  <si>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</si>
  <si>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</si>
  <si>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</si>
  <si>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</si>
  <si>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</si>
  <si>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</si>
  <si>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</si>
  <si>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</si>
  <si>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</si>
  <si>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</si>
  <si>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</si>
  <si>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</si>
  <si>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</si>
  <si>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</si>
  <si>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</si>
  <si>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</si>
  <si>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</si>
  <si>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</si>
  <si>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</si>
  <si>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</si>
  <si>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</si>
  <si>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</si>
  <si>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</si>
  <si>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</si>
  <si>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</si>
  <si>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</si>
  <si>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</si>
  <si>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</si>
  <si>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</si>
  <si>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</si>
  <si>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</si>
  <si>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</si>
  <si>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</si>
  <si>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</si>
  <si>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</si>
  <si>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</si>
  <si>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</si>
  <si>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</si>
  <si>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</si>
  <si>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</si>
  <si>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</si>
  <si>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</si>
  <si>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</si>
  <si>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</si>
  <si>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</si>
  <si>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</si>
  <si>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</si>
  <si>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</si>
  <si>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</si>
  <si>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</si>
  <si>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</si>
  <si>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</si>
  <si>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</si>
  <si>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</si>
  <si>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</si>
  <si>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</si>
  <si>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</si>
  <si>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</si>
  <si>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</si>
  <si>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</si>
  <si>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</si>
  <si>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</si>
  <si>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</si>
  <si>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</si>
  <si>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</si>
  <si>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</si>
  <si>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</si>
  <si>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</si>
  <si>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</si>
  <si>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</si>
  <si>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</si>
  <si>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</si>
  <si>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</si>
  <si>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</si>
  <si>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</si>
  <si>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</si>
  <si>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</si>
  <si>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</si>
  <si>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</si>
  <si>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</si>
  <si>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</si>
  <si>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</si>
  <si>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</si>
  <si>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</si>
  <si>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</si>
  <si>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</si>
  <si>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</si>
  <si>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</si>
  <si>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</si>
  <si>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</si>
  <si>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</si>
  <si>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</si>
  <si>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</si>
  <si>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</si>
  <si>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</si>
  <si>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</si>
  <si>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</si>
  <si>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</si>
  <si>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</si>
  <si>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</si>
  <si>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</si>
  <si>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</si>
  <si>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</si>
  <si>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</si>
  <si>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</si>
  <si>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</si>
  <si>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</si>
  <si>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</si>
  <si>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</si>
  <si>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</si>
  <si>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</si>
  <si>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</si>
  <si>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</si>
  <si>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</si>
  <si>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</si>
  <si>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</si>
  <si>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</si>
  <si>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</si>
  <si>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</si>
  <si>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</si>
  <si>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</si>
  <si>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</si>
  <si>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</si>
  <si>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</si>
  <si>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</si>
  <si>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</si>
  <si>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</si>
  <si>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</si>
  <si>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</si>
  <si>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</si>
  <si>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</si>
  <si>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</si>
  <si>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</si>
  <si>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</si>
  <si>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</si>
  <si>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</si>
  <si>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</si>
  <si>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</si>
  <si>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</si>
  <si>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</si>
  <si>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</si>
  <si>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</si>
  <si>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</si>
  <si>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</si>
  <si>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</si>
  <si>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</si>
  <si>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</si>
  <si>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</si>
  <si>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</si>
  <si>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</si>
  <si>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</si>
  <si>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</si>
  <si>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</si>
  <si>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</si>
  <si>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</si>
  <si>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</si>
  <si>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</si>
  <si>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</si>
  <si>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</si>
  <si>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</si>
  <si>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</si>
  <si>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</si>
  <si>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</si>
  <si>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</si>
  <si>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</si>
  <si>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</si>
  <si>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</si>
  <si>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</si>
  <si>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</si>
  <si>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</si>
  <si>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</si>
  <si>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</si>
  <si>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</si>
  <si>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</si>
  <si>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</si>
  <si>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</si>
  <si>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</si>
  <si>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</si>
  <si>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</si>
  <si>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</si>
  <si>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</si>
  <si>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</si>
  <si>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</si>
  <si>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</si>
  <si>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</si>
  <si>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</si>
  <si>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</si>
  <si>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</si>
  <si>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</si>
  <si>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</si>
  <si>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</si>
  <si>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</si>
  <si>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</si>
  <si>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</si>
  <si>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</si>
  <si>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</si>
  <si>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</si>
  <si>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</si>
  <si>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</si>
  <si>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</si>
  <si>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</si>
  <si>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</si>
  <si>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</si>
  <si>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</si>
  <si>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</si>
  <si>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</si>
  <si>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</si>
  <si>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</si>
  <si>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</si>
  <si>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</si>
  <si>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</si>
  <si>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</si>
  <si>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</si>
  <si>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</si>
  <si>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</si>
  <si>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</si>
  <si>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</si>
  <si>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</si>
  <si>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</si>
  <si>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</si>
  <si>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</si>
  <si>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</si>
  <si>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</si>
  <si>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</si>
  <si>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</si>
  <si>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</si>
  <si>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</si>
  <si>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</si>
  <si>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</si>
  <si>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</si>
  <si>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</si>
  <si>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</si>
  <si>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</si>
  <si>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</si>
  <si>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</si>
  <si>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</si>
  <si>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</si>
  <si>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</si>
  <si>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</si>
  <si>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</si>
  <si>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</si>
  <si>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</si>
  <si>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</si>
  <si>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</si>
  <si>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</si>
  <si>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</si>
  <si>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</si>
  <si>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</si>
  <si>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</si>
  <si>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</si>
  <si>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</si>
  <si>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</si>
  <si>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</si>
  <si>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</si>
  <si>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</si>
  <si>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</si>
  <si>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</si>
  <si>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</si>
  <si>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</si>
  <si>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</si>
  <si>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</si>
  <si>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</si>
  <si>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</si>
  <si>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</si>
  <si>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</si>
  <si>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</si>
  <si>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</si>
  <si>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</si>
  <si>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</si>
  <si>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</si>
  <si>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</si>
  <si>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</si>
  <si>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</si>
  <si>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</si>
  <si>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</si>
  <si>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</si>
  <si>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</si>
  <si>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</si>
  <si>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</si>
  <si>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</si>
  <si>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</si>
  <si>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</si>
  <si>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</si>
  <si>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</si>
  <si>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</si>
  <si>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</si>
  <si>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</si>
  <si>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</si>
  <si>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</si>
  <si>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</si>
  <si>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</si>
  <si>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</si>
  <si>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</si>
  <si>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</si>
  <si>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</si>
  <si>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</si>
  <si>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</si>
  <si>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</si>
  <si>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</si>
  <si>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</si>
  <si>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</si>
  <si>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</si>
  <si>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</si>
  <si>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</si>
  <si>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</si>
  <si>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</si>
  <si>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</si>
  <si>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</si>
  <si>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</si>
  <si>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</si>
  <si>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</si>
  <si>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</si>
  <si>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</si>
  <si>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</si>
  <si>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</si>
  <si>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</si>
  <si>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</si>
  <si>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</si>
  <si>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</si>
  <si>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</si>
  <si>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</si>
  <si>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</si>
  <si>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</si>
  <si>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</si>
  <si>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</si>
  <si>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</si>
  <si>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</si>
  <si>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</si>
  <si>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</si>
  <si>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</si>
  <si>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</si>
  <si>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</si>
  <si>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</si>
  <si>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</si>
  <si>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</si>
  <si>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</si>
  <si>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</si>
  <si>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</si>
  <si>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</si>
  <si>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</si>
  <si>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</si>
  <si>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</si>
  <si>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</si>
  <si>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</si>
  <si>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</si>
  <si>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</si>
  <si>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</si>
  <si>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</si>
  <si>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</si>
  <si>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</si>
  <si>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</si>
  <si>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</si>
  <si>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</si>
  <si>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</si>
  <si>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</si>
  <si>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</si>
  <si>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</si>
  <si>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</si>
  <si>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</si>
  <si>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</si>
  <si>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</si>
  <si>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</si>
  <si>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</si>
  <si>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</si>
  <si>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</si>
  <si>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</si>
  <si>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</si>
  <si>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</si>
  <si>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</si>
  <si>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</si>
  <si>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</si>
  <si>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</si>
  <si>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</si>
  <si>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</si>
  <si>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</si>
  <si>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</si>
  <si>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</si>
  <si>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</si>
  <si>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</si>
  <si>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</si>
  <si>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</si>
  <si>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</si>
  <si>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</si>
  <si>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</si>
  <si>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</si>
  <si>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</si>
  <si>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</si>
  <si>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</si>
  <si>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</si>
  <si>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</si>
  <si>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</si>
  <si>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</si>
  <si>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</si>
  <si>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</si>
  <si>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</si>
  <si>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</si>
  <si>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</si>
  <si>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</si>
  <si>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</si>
  <si>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</si>
  <si>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</si>
  <si>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</si>
  <si>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</si>
  <si>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</si>
  <si>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</si>
  <si>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</si>
  <si>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</si>
  <si>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</si>
  <si>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</si>
  <si>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</si>
  <si>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</si>
  <si>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</si>
  <si>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</si>
  <si>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</si>
  <si>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</si>
  <si>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</si>
  <si>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</si>
  <si>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</si>
  <si>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</si>
  <si>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</si>
  <si>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</si>
  <si>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</si>
  <si>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</si>
  <si>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</si>
  <si>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</si>
  <si>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</si>
  <si>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</si>
  <si>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</si>
  <si>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</si>
  <si>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</si>
  <si>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</si>
  <si>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</si>
  <si>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</si>
  <si>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</si>
  <si>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</si>
  <si>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</si>
  <si>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</si>
  <si>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</si>
  <si>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</si>
  <si>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</si>
  <si>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</si>
  <si>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</si>
  <si>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</si>
  <si>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</si>
  <si>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</si>
  <si>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</si>
  <si>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</si>
  <si>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</si>
  <si>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</si>
  <si>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</si>
  <si>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</si>
  <si>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</si>
  <si>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</si>
  <si>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</si>
  <si>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</si>
  <si>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</si>
  <si>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</si>
  <si>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</si>
  <si>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</si>
  <si>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</si>
  <si>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</si>
  <si>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</si>
  <si>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</si>
  <si>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</si>
  <si>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</si>
  <si>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</si>
  <si>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</si>
  <si>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</si>
  <si>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</si>
  <si>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</si>
  <si>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</si>
  <si>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</si>
  <si>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</si>
  <si>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</si>
  <si>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</si>
  <si>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</si>
  <si>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</si>
  <si>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</si>
  <si>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</si>
  <si>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</si>
  <si>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</si>
  <si>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</si>
  <si>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</si>
  <si>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</si>
  <si>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</si>
  <si>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</si>
  <si>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</si>
  <si>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</si>
  <si>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</si>
  <si>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</si>
  <si>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</si>
  <si>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</si>
  <si>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</si>
  <si>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</si>
  <si>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</si>
  <si>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</si>
  <si>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</si>
  <si>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</si>
  <si>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</si>
  <si>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</si>
  <si>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</si>
  <si>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</si>
  <si>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</si>
  <si>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</si>
  <si>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</si>
  <si>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</si>
  <si>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</si>
  <si>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</si>
  <si>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</si>
  <si>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</si>
  <si>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</si>
  <si>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</si>
  <si>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</si>
  <si>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</si>
  <si>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</si>
  <si>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</si>
  <si>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</si>
  <si>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</si>
  <si>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</si>
  <si>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</si>
  <si>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</si>
  <si>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</si>
  <si>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</si>
  <si>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</si>
  <si>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</si>
  <si>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</si>
  <si>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</si>
  <si>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</si>
  <si>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</si>
  <si>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</si>
  <si>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</si>
  <si>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</si>
  <si>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</si>
  <si>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</si>
  <si>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</si>
  <si>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</si>
  <si>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</si>
  <si>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</si>
  <si>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</si>
  <si>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</si>
  <si>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</si>
  <si>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</si>
  <si>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</si>
  <si>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</si>
  <si>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</si>
  <si>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</si>
  <si>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</si>
  <si>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</si>
  <si>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</si>
  <si>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</si>
  <si>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</si>
  <si>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</si>
  <si>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</si>
  <si>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</si>
  <si>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</si>
  <si>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</si>
  <si>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</si>
  <si>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</si>
  <si>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</si>
  <si>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</si>
  <si>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</si>
  <si>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</si>
  <si>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</si>
  <si>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</si>
  <si>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</si>
  <si>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</si>
  <si>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</si>
  <si>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</si>
  <si>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</si>
  <si>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</si>
  <si>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</si>
  <si>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</si>
  <si>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</si>
  <si>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</si>
  <si>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</si>
  <si>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</si>
  <si>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</si>
  <si>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</si>
  <si>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</si>
  <si>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</si>
  <si>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</si>
  <si>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</si>
  <si>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</si>
  <si>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</si>
  <si>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</si>
  <si>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</si>
  <si>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</si>
  <si>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</si>
  <si>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</si>
  <si>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</si>
  <si>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</si>
  <si>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</si>
  <si>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</si>
  <si>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</si>
  <si>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</si>
  <si>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</si>
  <si>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</si>
  <si>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</si>
  <si>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</si>
  <si>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</si>
  <si>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</si>
  <si>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</si>
  <si>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</si>
  <si>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</si>
  <si>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</si>
  <si>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</si>
  <si>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</si>
  <si>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</si>
  <si>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</si>
  <si>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</si>
  <si>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</si>
  <si>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</si>
  <si>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</si>
  <si>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</si>
  <si>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</si>
  <si>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</si>
  <si>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</si>
  <si>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</si>
  <si>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</si>
  <si>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</si>
  <si>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</si>
  <si>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</si>
  <si>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</si>
  <si>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</si>
  <si>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</si>
  <si>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</si>
  <si>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</si>
  <si>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</si>
  <si>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</si>
  <si>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</si>
  <si>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</si>
  <si>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</si>
  <si>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</si>
  <si>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</si>
  <si>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</si>
  <si>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</si>
  <si>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</si>
  <si>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</si>
  <si>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</si>
  <si>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</si>
  <si>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</si>
  <si>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</si>
  <si>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</si>
  <si>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</si>
  <si>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</si>
  <si>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</si>
  <si>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</si>
  <si>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</si>
  <si>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</si>
  <si>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</si>
  <si>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</si>
  <si>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</si>
  <si>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</si>
  <si>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</si>
  <si>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</si>
  <si>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</si>
  <si>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</si>
  <si>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</si>
  <si>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</si>
  <si>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</si>
  <si>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</si>
  <si>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</si>
  <si>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</si>
  <si>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</si>
  <si>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</si>
  <si>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</si>
  <si>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</si>
  <si>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</si>
  <si>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</si>
  <si>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</si>
  <si>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</si>
  <si>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</si>
  <si>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</si>
  <si>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</si>
  <si>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</si>
  <si>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</si>
  <si>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</si>
  <si>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</si>
  <si>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</si>
  <si>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</si>
  <si>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</si>
  <si>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</si>
  <si>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</si>
  <si>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</si>
  <si>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</si>
  <si>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</si>
  <si>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</si>
  <si>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</si>
  <si>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</si>
  <si>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</si>
  <si>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</si>
  <si>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</si>
  <si>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</si>
  <si>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</si>
  <si>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</si>
  <si>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</si>
  <si>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</si>
  <si>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</si>
  <si>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</si>
  <si>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</si>
  <si>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</si>
  <si>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</si>
  <si>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</si>
  <si>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</si>
  <si>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</si>
  <si>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</si>
  <si>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</si>
  <si>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</si>
  <si>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</si>
  <si>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</si>
  <si>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</si>
  <si>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</si>
  <si>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</si>
  <si>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</si>
  <si>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</si>
  <si>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</si>
  <si>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</si>
  <si>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</si>
  <si>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</si>
  <si>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</si>
  <si>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</si>
  <si>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</si>
  <si>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</si>
  <si>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</si>
  <si>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</si>
  <si>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</si>
  <si>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</si>
  <si>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</si>
  <si>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</si>
  <si>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</si>
  <si>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</si>
  <si>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</si>
  <si>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</si>
  <si>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</si>
  <si>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</si>
  <si>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</si>
  <si>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</si>
  <si>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</si>
  <si>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</si>
  <si>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</si>
  <si>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</si>
  <si>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</si>
  <si>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</si>
  <si>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</si>
  <si>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</si>
  <si>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</si>
  <si>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</si>
  <si>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</si>
  <si>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</si>
  <si>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</si>
  <si>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</si>
  <si>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</si>
  <si>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</si>
  <si>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</si>
  <si>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</si>
  <si>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</si>
  <si>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</si>
  <si>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</si>
  <si>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</si>
  <si>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</si>
  <si>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</si>
  <si>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</si>
  <si>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</si>
  <si>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</si>
  <si>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</si>
  <si>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</si>
  <si>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</si>
  <si>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</si>
  <si>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</si>
  <si>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</si>
  <si>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</si>
  <si>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</si>
  <si>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</si>
  <si>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</si>
  <si>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</si>
  <si>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</si>
  <si>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</si>
  <si>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</si>
  <si>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</si>
  <si>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</si>
  <si>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</si>
  <si>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</si>
  <si>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</si>
  <si>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</si>
  <si>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</si>
  <si>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</si>
  <si>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</si>
  <si>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</si>
  <si>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</si>
  <si>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</si>
  <si>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</si>
  <si>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</si>
  <si>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</si>
  <si>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</si>
  <si>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</si>
  <si>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</si>
  <si>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</si>
  <si>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</si>
  <si>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</si>
  <si>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</si>
  <si>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</si>
  <si>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</si>
  <si>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</si>
  <si>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</si>
  <si>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</si>
  <si>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</si>
  <si>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</si>
  <si>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</si>
  <si>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</si>
  <si>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</si>
  <si>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</si>
  <si>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</si>
  <si>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</si>
  <si>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</si>
  <si>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</si>
  <si>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</si>
  <si>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</si>
  <si>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</si>
  <si>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</si>
  <si>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</si>
  <si>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</si>
  <si>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</si>
  <si>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</si>
  <si>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</si>
  <si>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</si>
  <si>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</si>
  <si>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</si>
  <si>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</si>
  <si>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</si>
  <si>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</si>
  <si>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</si>
  <si>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</si>
  <si>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</si>
  <si>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</si>
  <si>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</si>
  <si>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</si>
  <si>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</si>
  <si>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</si>
  <si>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</si>
  <si>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</si>
  <si>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</si>
  <si>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</si>
  <si>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</si>
  <si>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</si>
  <si>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</si>
  <si>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</si>
  <si>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</si>
  <si>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</si>
  <si>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</si>
  <si>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</si>
  <si>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</si>
  <si>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</si>
  <si>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</si>
  <si>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</si>
  <si>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</si>
  <si>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</si>
  <si>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</si>
  <si>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</si>
  <si>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</si>
  <si>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</si>
  <si>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</si>
  <si>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</si>
  <si>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</si>
  <si>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</si>
  <si>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</si>
  <si>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</si>
  <si>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</si>
  <si>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</si>
  <si>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</si>
  <si>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</si>
  <si>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</si>
  <si>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</si>
  <si>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</si>
  <si>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</si>
  <si>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</si>
  <si>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</si>
  <si>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</si>
  <si>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</si>
  <si>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</si>
  <si>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</si>
  <si>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</si>
  <si>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</si>
  <si>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</si>
  <si>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</si>
  <si>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</si>
  <si>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</si>
  <si>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</si>
  <si>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</si>
  <si>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</si>
  <si>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</si>
  <si>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</si>
  <si>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</si>
  <si>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</si>
  <si>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</si>
  <si>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</si>
  <si>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</si>
  <si>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</si>
  <si>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</si>
  <si>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</si>
  <si>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</si>
  <si>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</si>
  <si>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</si>
  <si>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</si>
  <si>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</si>
  <si>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</si>
  <si>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</si>
  <si>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</si>
  <si>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</si>
  <si>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</si>
  <si>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</si>
  <si>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</si>
  <si>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</si>
  <si>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</si>
  <si>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</si>
  <si>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</si>
  <si>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</si>
  <si>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</si>
  <si>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</si>
  <si>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</si>
  <si>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</si>
  <si>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</si>
  <si>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</si>
  <si>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</si>
  <si>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</si>
  <si>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</si>
  <si>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</si>
  <si>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</si>
  <si>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</si>
  <si>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</si>
  <si>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</si>
  <si>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</si>
  <si>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</si>
  <si>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</si>
  <si>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</si>
  <si>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</si>
  <si>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</si>
  <si>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</si>
  <si>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</si>
  <si>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</si>
  <si>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</si>
  <si>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</si>
  <si>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</si>
  <si>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</si>
  <si>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</si>
  <si>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</si>
  <si>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</si>
  <si>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</si>
  <si>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</si>
  <si>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</si>
  <si>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</si>
  <si>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</si>
  <si>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</si>
  <si>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</si>
  <si>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</si>
  <si>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</si>
  <si>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</si>
  <si>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</si>
  <si>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</si>
  <si>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</si>
  <si>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</si>
  <si>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</si>
  <si>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</si>
  <si>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</si>
  <si>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</si>
  <si>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</si>
  <si>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</si>
  <si>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</si>
  <si>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</si>
  <si>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</si>
  <si>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</si>
  <si>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</si>
  <si>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</si>
  <si>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</si>
  <si>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</si>
  <si>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</si>
  <si>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</si>
  <si>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</si>
  <si>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</si>
  <si>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</si>
  <si>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</si>
  <si>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</si>
  <si>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</si>
  <si>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</si>
  <si>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</si>
  <si>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</si>
  <si>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</si>
  <si>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</si>
  <si>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</si>
  <si>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</si>
  <si>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</si>
  <si>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</si>
  <si>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</si>
  <si>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</si>
  <si>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</si>
  <si>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</si>
  <si>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</si>
  <si>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</si>
  <si>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</si>
  <si>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</si>
  <si>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</si>
  <si>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</si>
  <si>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</si>
  <si>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</si>
  <si>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</si>
  <si>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</si>
  <si>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</si>
  <si>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</si>
  <si>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</si>
  <si>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</si>
  <si>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</si>
  <si>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</si>
  <si>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</si>
  <si>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</si>
  <si>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</si>
  <si>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</si>
  <si>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</si>
  <si>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</si>
  <si>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</si>
  <si>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</si>
  <si>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</si>
  <si>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</si>
  <si>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</si>
  <si>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</si>
  <si>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</si>
  <si>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</si>
  <si>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</si>
  <si>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</si>
  <si>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</si>
  <si>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</si>
  <si>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</si>
  <si>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</si>
  <si>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</si>
  <si>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</si>
  <si>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</si>
  <si>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</si>
  <si>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</si>
  <si>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</si>
  <si>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</si>
  <si>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</si>
  <si>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</si>
  <si>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</si>
  <si>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</si>
  <si>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</si>
  <si>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</si>
  <si>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</si>
  <si>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</si>
  <si>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</si>
  <si>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</si>
  <si>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</si>
  <si>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</si>
  <si>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</si>
  <si>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</si>
  <si>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</si>
  <si>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</si>
  <si>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</si>
  <si>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</si>
  <si>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</si>
  <si>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</si>
  <si>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</si>
  <si>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</si>
  <si>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</si>
  <si>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</si>
  <si>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</si>
  <si>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</si>
  <si>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</si>
  <si>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</si>
  <si>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</si>
  <si>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</si>
  <si>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</si>
  <si>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</si>
  <si>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</si>
  <si>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</si>
  <si>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</si>
  <si>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</si>
  <si>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</si>
  <si>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</si>
  <si>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</si>
  <si>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</si>
  <si>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</si>
  <si>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</si>
  <si>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</si>
  <si>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</si>
  <si>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</si>
  <si>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</si>
  <si>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</si>
  <si>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</si>
  <si>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</si>
  <si>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</si>
  <si>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</si>
  <si>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</si>
  <si>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</si>
  <si>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</si>
  <si>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</si>
  <si>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</si>
  <si>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</si>
  <si>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</si>
  <si>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</si>
  <si>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</si>
  <si>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</si>
  <si>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</si>
  <si>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</si>
  <si>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</si>
  <si>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</si>
  <si>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</si>
  <si>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</si>
  <si>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</si>
  <si>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</si>
  <si>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</si>
  <si>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</si>
  <si>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</si>
  <si>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</si>
  <si>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</si>
  <si>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</si>
  <si>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</si>
  <si>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</si>
  <si>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</si>
  <si>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</si>
  <si>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</si>
  <si>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</si>
  <si>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</si>
  <si>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</si>
  <si>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</si>
  <si>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</si>
  <si>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</si>
  <si>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</si>
  <si>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</si>
  <si>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</si>
  <si>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</si>
  <si>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</si>
  <si>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</si>
  <si>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</si>
  <si>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</si>
  <si>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</si>
  <si>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</si>
  <si>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</si>
  <si>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</si>
  <si>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</si>
  <si>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</si>
  <si>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</si>
  <si>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</si>
  <si>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</si>
  <si>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</si>
  <si>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</si>
  <si>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</si>
  <si>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</si>
  <si>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</si>
  <si>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</si>
  <si>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</si>
  <si>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</si>
  <si>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</si>
  <si>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</si>
  <si>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</si>
  <si>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</si>
  <si>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</si>
  <si>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</si>
  <si>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</si>
  <si>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</si>
  <si>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</si>
  <si>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</si>
  <si>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</si>
  <si>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</si>
  <si>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</si>
  <si>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</si>
  <si>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</si>
  <si>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</si>
  <si>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</si>
  <si>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</si>
  <si>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</si>
  <si>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</si>
  <si>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</si>
  <si>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</si>
  <si>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</si>
  <si>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</si>
  <si>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</si>
  <si>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</si>
  <si>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</si>
  <si>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</si>
  <si>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</si>
  <si>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</si>
  <si>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</si>
  <si>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</si>
  <si>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</si>
  <si>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</si>
  <si>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</si>
  <si>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</si>
  <si>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</si>
  <si>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</si>
  <si>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</si>
  <si>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</si>
  <si>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</si>
  <si>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</si>
  <si>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</si>
  <si>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</si>
  <si>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</si>
  <si>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</si>
  <si>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</si>
  <si>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</si>
  <si>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</si>
  <si>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</si>
  <si>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</si>
  <si>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</si>
  <si>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</si>
  <si>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</si>
  <si>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</si>
  <si>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</si>
  <si>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</si>
  <si>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</si>
  <si>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</si>
  <si>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</si>
  <si>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</si>
  <si>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</si>
  <si>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</si>
  <si>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</si>
  <si>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</si>
  <si>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</si>
  <si>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</si>
  <si>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</si>
  <si>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</si>
  <si>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</si>
  <si>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</si>
  <si>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</si>
  <si>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</si>
  <si>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</si>
  <si>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</si>
  <si>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</si>
  <si>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</si>
  <si>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</si>
  <si>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</si>
  <si>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</si>
  <si>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</si>
  <si>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</si>
  <si>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</si>
  <si>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</si>
  <si>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</si>
  <si>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</si>
  <si>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</si>
  <si>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</si>
  <si>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</si>
  <si>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</si>
  <si>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</si>
  <si>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</si>
  <si>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</si>
  <si>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</si>
  <si>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</si>
  <si>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</si>
  <si>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</si>
  <si>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</si>
  <si>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</si>
  <si>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</si>
  <si>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</si>
  <si>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</si>
  <si>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</si>
  <si>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</si>
  <si>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</si>
  <si>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</si>
  <si>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</si>
  <si>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</si>
  <si>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</si>
  <si>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</si>
  <si>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</si>
  <si>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</si>
  <si>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</si>
  <si>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</si>
  <si>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</si>
  <si>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</si>
  <si>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</si>
  <si>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</si>
  <si>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</si>
  <si>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</si>
  <si>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</si>
  <si>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</si>
  <si>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</si>
  <si>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</si>
  <si>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</si>
  <si>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</si>
  <si>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</si>
  <si>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</si>
  <si>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</si>
  <si>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</si>
  <si>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</si>
  <si>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</si>
  <si>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</si>
  <si>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</si>
  <si>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</si>
  <si>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</si>
  <si>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</si>
  <si>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</si>
  <si>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</si>
  <si>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</si>
  <si>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</si>
  <si>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</si>
  <si>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</si>
  <si>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</si>
  <si>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</si>
  <si>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</si>
  <si>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</si>
  <si>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</si>
  <si>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</si>
  <si>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</si>
  <si>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</si>
  <si>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</si>
  <si>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</si>
  <si>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</si>
  <si>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</si>
  <si>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</si>
  <si>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</si>
  <si>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</si>
  <si>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</si>
  <si>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</si>
  <si>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</si>
  <si>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</si>
  <si>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</si>
  <si>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</si>
  <si>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</si>
  <si>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</si>
  <si>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</si>
  <si>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</si>
  <si>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</si>
  <si>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</si>
  <si>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</si>
  <si>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</si>
  <si>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</si>
  <si>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</si>
  <si>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</si>
  <si>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</si>
  <si>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</si>
  <si>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</si>
  <si>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</si>
  <si>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</si>
  <si>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</si>
  <si>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</si>
  <si>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</si>
  <si>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</si>
  <si>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</si>
  <si>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</si>
  <si>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</si>
  <si>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</si>
  <si>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</si>
  <si>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</si>
  <si>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</si>
  <si>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</si>
  <si>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</si>
  <si>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</si>
  <si>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</si>
  <si>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</si>
  <si>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</si>
  <si>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</si>
  <si>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</si>
  <si>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</si>
  <si>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</si>
  <si>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</si>
  <si>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</si>
  <si>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</si>
  <si>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</si>
  <si>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</si>
  <si>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</si>
  <si>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</si>
  <si>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</si>
  <si>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</si>
  <si>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</si>
  <si>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</si>
  <si>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</si>
  <si>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</si>
  <si>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</si>
  <si>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</si>
  <si>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</si>
  <si>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</si>
  <si>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</si>
  <si>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</si>
  <si>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</si>
  <si>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</si>
  <si>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</si>
  <si>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</si>
  <si>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</si>
  <si>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</si>
  <si>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</si>
  <si>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</si>
  <si>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</si>
  <si>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</si>
  <si>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</si>
  <si>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</si>
  <si>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</si>
  <si>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</si>
  <si>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</si>
  <si>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</si>
  <si>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</si>
  <si>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</si>
  <si>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</si>
  <si>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</si>
  <si>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</si>
  <si>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</si>
  <si>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</si>
  <si>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</si>
  <si>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</si>
  <si>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</si>
  <si>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</si>
  <si>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</si>
  <si>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</si>
  <si>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</si>
  <si>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</si>
  <si>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</si>
  <si>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</si>
  <si>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</si>
  <si>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</si>
  <si>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</si>
  <si>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</si>
  <si>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</si>
  <si>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</si>
  <si>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</si>
  <si>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</si>
  <si>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</si>
  <si>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</si>
  <si>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</si>
  <si>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</si>
  <si>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</si>
  <si>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</si>
  <si>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</si>
  <si>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</si>
  <si>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</si>
  <si>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</si>
  <si>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</si>
  <si>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</si>
  <si>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</si>
  <si>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</si>
  <si>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</si>
  <si>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</si>
  <si>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</si>
  <si>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</si>
  <si>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</si>
  <si>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</si>
  <si>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</si>
  <si>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</si>
  <si>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</si>
  <si>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</si>
  <si>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</si>
  <si>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</si>
  <si>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</si>
  <si>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</si>
  <si>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</si>
  <si>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</si>
  <si>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</si>
  <si>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</si>
  <si>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</si>
  <si>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</si>
  <si>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</si>
  <si>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</si>
  <si>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</si>
  <si>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</si>
  <si>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</si>
  <si>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</si>
  <si>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</si>
  <si>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</si>
  <si>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</si>
  <si>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</si>
  <si>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</si>
  <si>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</si>
  <si>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</si>
  <si>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</si>
  <si>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</si>
  <si>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</si>
  <si>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</si>
  <si>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</si>
  <si>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</si>
  <si>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</si>
  <si>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</si>
  <si>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</si>
  <si>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</si>
  <si>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</si>
  <si>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</si>
  <si>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</si>
  <si>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</si>
  <si>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</si>
  <si>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</si>
  <si>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</si>
  <si>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</si>
  <si>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</si>
  <si>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</si>
  <si>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</si>
  <si>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</si>
  <si>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</si>
  <si>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</si>
  <si>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</si>
  <si>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</si>
  <si>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</si>
  <si>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</si>
  <si>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</si>
  <si>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</si>
  <si>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</si>
  <si>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</si>
  <si>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</si>
  <si>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</si>
  <si>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</si>
  <si>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</si>
  <si>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</si>
  <si>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</si>
  <si>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</si>
  <si>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</si>
  <si>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</si>
  <si>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</si>
  <si>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</si>
  <si>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</si>
  <si>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</si>
  <si>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</si>
  <si>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</si>
  <si>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</si>
  <si>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</si>
  <si>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</si>
  <si>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</si>
  <si>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</si>
  <si>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</si>
  <si>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</si>
  <si>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</si>
  <si>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</si>
  <si>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</si>
  <si>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</si>
  <si>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</si>
  <si>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</si>
  <si>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</si>
  <si>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</si>
  <si>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</si>
  <si>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</si>
  <si>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</si>
  <si>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</si>
  <si>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</si>
  <si>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</si>
  <si>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</si>
  <si>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</si>
  <si>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</si>
  <si>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</si>
  <si>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</si>
  <si>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</si>
  <si>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</si>
  <si>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</si>
  <si>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</si>
  <si>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</si>
  <si>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</si>
  <si>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</si>
  <si>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</si>
  <si>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</si>
  <si>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</si>
  <si>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</si>
  <si>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</si>
  <si>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</si>
  <si>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</si>
  <si>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</si>
  <si>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</si>
  <si>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</si>
  <si>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</si>
  <si>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</si>
  <si>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</si>
  <si>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</si>
  <si>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</si>
  <si>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</si>
  <si>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</si>
  <si>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</si>
  <si>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</si>
  <si>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</si>
  <si>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</si>
  <si>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</si>
  <si>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</si>
  <si>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</si>
  <si>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</si>
  <si>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</si>
  <si>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</si>
  <si>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</si>
  <si>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</si>
  <si>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</si>
  <si>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</si>
  <si>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</si>
  <si>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</si>
  <si>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</si>
  <si>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</si>
  <si>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</si>
  <si>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</si>
  <si>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</si>
  <si>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</si>
  <si>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</si>
  <si>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</si>
  <si>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</si>
  <si>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</si>
  <si>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</si>
  <si>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</si>
  <si>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</si>
  <si>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</si>
  <si>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</si>
  <si>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</si>
  <si>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</si>
  <si>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</si>
  <si>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</si>
  <si>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</si>
  <si>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</si>
  <si>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</si>
  <si>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</si>
  <si>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</si>
  <si>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</si>
  <si>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</si>
  <si>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</si>
  <si>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</si>
  <si>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</si>
  <si>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</si>
  <si>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</si>
  <si>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</si>
  <si>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</si>
  <si>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</si>
  <si>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</si>
  <si>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</si>
  <si>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</si>
  <si>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</si>
  <si>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</si>
  <si>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</si>
  <si>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</si>
  <si>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</si>
  <si>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</si>
  <si>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</si>
  <si>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</si>
  <si>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</si>
  <si>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</si>
  <si>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</si>
  <si>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</si>
  <si>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</si>
  <si>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</si>
  <si>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</si>
  <si>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</si>
  <si>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</si>
  <si>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</si>
  <si>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</si>
  <si>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</si>
  <si>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</si>
  <si>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</si>
  <si>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</si>
  <si>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</si>
  <si>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</si>
  <si>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</si>
  <si>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</si>
  <si>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</si>
  <si>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</si>
  <si>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</si>
  <si>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</si>
  <si>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</si>
  <si>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</si>
  <si>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</si>
  <si>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</si>
  <si>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</si>
  <si>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</si>
  <si>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</si>
  <si>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</si>
  <si>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</si>
  <si>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</si>
  <si>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</si>
  <si>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</si>
  <si>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</si>
  <si>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</si>
  <si>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</si>
  <si>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</si>
  <si>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</si>
  <si>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</si>
  <si>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</si>
  <si>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</si>
  <si>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</si>
  <si>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</si>
  <si>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</si>
  <si>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</si>
  <si>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</si>
  <si>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</si>
  <si>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</si>
  <si>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</si>
  <si>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</si>
  <si>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</si>
  <si>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</si>
  <si>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</si>
  <si>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</si>
  <si>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</si>
  <si>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</si>
  <si>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</si>
  <si>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</si>
  <si>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</si>
  <si>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</si>
  <si>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</si>
  <si>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</si>
  <si>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</si>
  <si>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</si>
  <si>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</si>
  <si>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</si>
  <si>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</si>
  <si>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</si>
  <si>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</si>
  <si>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</si>
  <si>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</si>
  <si>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</si>
  <si>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</si>
  <si>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</si>
  <si>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</si>
  <si>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</si>
  <si>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</si>
  <si>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</si>
  <si>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</si>
  <si>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</si>
  <si>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</si>
  <si>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</si>
  <si>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</si>
  <si>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</si>
  <si>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</si>
  <si>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</si>
  <si>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</si>
  <si>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</si>
  <si>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</si>
  <si>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</si>
  <si>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</si>
  <si>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</si>
  <si>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</si>
  <si>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</si>
  <si>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</si>
  <si>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</si>
  <si>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</si>
  <si>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</si>
  <si>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</si>
  <si>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</si>
  <si>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</si>
  <si>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</si>
  <si>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</si>
  <si>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</si>
  <si>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</si>
  <si>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</si>
  <si>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</si>
  <si>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</si>
  <si>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</si>
  <si>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</si>
  <si>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</si>
  <si>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</si>
  <si>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</si>
  <si>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</si>
  <si>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</si>
  <si>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</si>
  <si>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</si>
  <si>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</si>
  <si>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</si>
  <si>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</si>
  <si>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</si>
  <si>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</si>
  <si>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</si>
  <si>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</si>
  <si>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</si>
  <si>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</si>
  <si>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</si>
  <si>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</si>
  <si>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</si>
  <si>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</si>
  <si>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</si>
  <si>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</si>
  <si>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</si>
  <si>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</si>
  <si>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</si>
  <si>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</si>
  <si>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</si>
  <si>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</si>
  <si>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</si>
  <si>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</si>
  <si>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</si>
  <si>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</si>
  <si>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</si>
  <si>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</si>
  <si>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</si>
  <si>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</si>
  <si>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</si>
  <si>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</si>
  <si>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</si>
  <si>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</si>
  <si>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</si>
  <si>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</si>
  <si>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</si>
  <si>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</si>
  <si>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</si>
  <si>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</si>
  <si>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</si>
  <si>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</si>
  <si>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</si>
  <si>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</si>
  <si>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</si>
  <si>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</si>
  <si>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</si>
  <si>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</si>
  <si>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</si>
  <si>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</si>
  <si>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</si>
  <si>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</si>
  <si>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</si>
  <si>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</si>
  <si>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</si>
  <si>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</si>
  <si>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</si>
  <si>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</si>
  <si>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</si>
  <si>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</si>
  <si>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</si>
  <si>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</si>
  <si>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</si>
  <si>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</si>
  <si>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</si>
  <si>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</si>
  <si>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</si>
  <si>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</si>
  <si>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</si>
  <si>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</si>
  <si>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</si>
  <si>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</si>
  <si>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</si>
  <si>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</si>
  <si>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</si>
  <si>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</si>
  <si>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</si>
  <si>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</si>
  <si>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</si>
  <si>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</si>
  <si>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</si>
  <si>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</si>
  <si>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</si>
  <si>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</si>
  <si>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</si>
  <si>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</si>
  <si>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</si>
  <si>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</si>
  <si>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</si>
  <si>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</si>
  <si>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</si>
  <si>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</si>
  <si>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</si>
  <si>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</si>
  <si>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</si>
  <si>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</si>
  <si>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</si>
  <si>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</si>
  <si>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</si>
  <si>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</si>
  <si>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</si>
  <si>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</si>
  <si>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</si>
  <si>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</si>
  <si>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</si>
  <si>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</si>
  <si>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</si>
  <si>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</si>
  <si>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</si>
  <si>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</si>
  <si>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</si>
  <si>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</si>
  <si>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</si>
  <si>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</si>
  <si>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</si>
  <si>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</si>
  <si>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</si>
  <si>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</si>
  <si>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</si>
  <si>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</si>
  <si>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</si>
  <si>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</si>
  <si>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</si>
  <si>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</si>
  <si>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</si>
  <si>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</si>
  <si>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</si>
  <si>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</si>
  <si>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</si>
  <si>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</si>
  <si>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</si>
  <si>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</si>
  <si>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</si>
  <si>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</si>
  <si>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</si>
  <si>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</si>
  <si>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</si>
  <si>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</si>
  <si>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</si>
  <si>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</si>
  <si>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</si>
  <si>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</si>
  <si>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</si>
  <si>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</si>
  <si>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</si>
  <si>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</si>
  <si>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</si>
  <si>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</si>
  <si>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</si>
  <si>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</si>
  <si>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</si>
  <si>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</si>
  <si>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</si>
  <si>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</si>
  <si>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</si>
  <si>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</si>
  <si>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</si>
  <si>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</si>
  <si>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</si>
  <si>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</si>
  <si>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</si>
  <si>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</si>
  <si>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</si>
  <si>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</si>
  <si>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</si>
  <si>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</si>
  <si>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</si>
  <si>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</si>
  <si>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</si>
  <si>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</si>
  <si>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</si>
  <si>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</si>
  <si>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</si>
  <si>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</si>
  <si>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</si>
  <si>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</si>
  <si>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</si>
  <si>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</si>
  <si>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</si>
  <si>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</si>
  <si>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</si>
  <si>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</si>
  <si>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</si>
  <si>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</si>
  <si>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</si>
  <si>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</si>
  <si>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</si>
  <si>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</si>
  <si>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</si>
  <si>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</si>
  <si>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</si>
  <si>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</si>
  <si>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</si>
  <si>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</si>
  <si>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</si>
  <si>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</si>
  <si>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</si>
  <si>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</si>
  <si>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</si>
  <si>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</si>
  <si>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</si>
  <si>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</si>
  <si>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</si>
  <si>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</si>
  <si>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</si>
  <si>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</si>
  <si>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</si>
  <si>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</si>
  <si>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</si>
  <si>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</si>
  <si>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</si>
  <si>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</si>
  <si>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</si>
  <si>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</si>
  <si>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</si>
  <si>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</si>
  <si>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</si>
  <si>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</si>
  <si>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</si>
  <si>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</si>
  <si>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</si>
  <si>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</si>
  <si>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</si>
  <si>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</si>
  <si>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</si>
  <si>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</si>
  <si>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</si>
  <si>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</si>
  <si>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</si>
  <si>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</si>
  <si>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</si>
  <si>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</si>
  <si>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</si>
  <si>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</si>
  <si>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</si>
  <si>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</si>
  <si>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</si>
  <si>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</si>
  <si>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</si>
  <si>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</si>
  <si>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</si>
  <si>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</si>
  <si>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</si>
  <si>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</si>
  <si>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</si>
  <si>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</si>
  <si>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</si>
  <si>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</si>
  <si>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</si>
  <si>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</si>
  <si>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</si>
  <si>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</si>
  <si>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</si>
  <si>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</si>
  <si>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</si>
  <si>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</si>
  <si>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</si>
  <si>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</si>
  <si>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</si>
  <si>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</si>
  <si>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</si>
  <si>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</si>
  <si>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</si>
  <si>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</si>
  <si>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</si>
  <si>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</si>
  <si>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</si>
  <si>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</si>
  <si>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</si>
  <si>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</si>
  <si>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</si>
  <si>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</si>
  <si>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</si>
  <si>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</si>
  <si>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</si>
  <si>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</si>
  <si>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</si>
  <si>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</si>
  <si>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</si>
  <si>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</si>
  <si>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</si>
  <si>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</si>
  <si>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</si>
  <si>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</si>
  <si>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</si>
  <si>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</si>
  <si>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</si>
  <si>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</si>
  <si>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</si>
  <si>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</si>
  <si>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</si>
  <si>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</si>
  <si>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</si>
  <si>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</si>
  <si>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</si>
  <si>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</si>
  <si>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</si>
  <si>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</si>
  <si>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</si>
  <si>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</si>
  <si>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</si>
  <si>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</si>
  <si>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</si>
  <si>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</si>
  <si>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</si>
  <si>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</si>
  <si>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</si>
  <si>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</si>
  <si>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</si>
  <si>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</si>
  <si>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</si>
  <si>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</si>
  <si>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</si>
  <si>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</si>
  <si>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</si>
  <si>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</si>
  <si>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</si>
  <si>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</si>
  <si>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</si>
  <si>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</si>
  <si>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</si>
  <si>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</si>
  <si>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</si>
  <si>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</si>
  <si>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</si>
  <si>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</si>
  <si>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</si>
  <si>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</si>
  <si>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</si>
  <si>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</si>
  <si>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</si>
  <si>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</si>
  <si>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</si>
  <si>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</si>
  <si>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</si>
  <si>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</si>
  <si>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</si>
  <si>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</si>
  <si>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</si>
  <si>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</si>
  <si>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</si>
  <si>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</si>
  <si>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</si>
  <si>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</si>
  <si>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</si>
  <si>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</si>
  <si>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</si>
  <si>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</si>
  <si>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</si>
  <si>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</si>
  <si>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</si>
  <si>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</si>
  <si>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</si>
  <si>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</si>
  <si>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</si>
  <si>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</si>
  <si>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</si>
  <si>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</si>
  <si>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</si>
  <si>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</si>
  <si>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</si>
  <si>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</si>
  <si>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</si>
  <si>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</si>
  <si>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</si>
  <si>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</si>
  <si>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</si>
  <si>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</si>
  <si>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</si>
  <si>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</si>
  <si>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</si>
  <si>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</si>
  <si>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</si>
  <si>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</si>
  <si>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</si>
  <si>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</si>
  <si>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</si>
  <si>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</si>
  <si>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</si>
  <si>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</si>
  <si>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</si>
  <si>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</si>
  <si>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</si>
  <si>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</si>
  <si>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</si>
  <si>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</si>
  <si>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</si>
  <si>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</si>
  <si>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</si>
  <si>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</si>
  <si>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</si>
  <si>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</si>
  <si>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</si>
  <si>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</si>
  <si>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</si>
  <si>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</si>
  <si>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</si>
  <si>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</si>
  <si>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</si>
  <si>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</si>
  <si>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</si>
  <si>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</si>
  <si>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</si>
  <si>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</si>
  <si>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</si>
  <si>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</si>
  <si>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</si>
  <si>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</si>
  <si>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</si>
  <si>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</si>
  <si>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</si>
  <si>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</si>
  <si>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</si>
  <si>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</si>
  <si>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</si>
  <si>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</si>
  <si>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</si>
  <si>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</si>
  <si>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</si>
  <si>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</si>
  <si>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</si>
  <si>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</si>
  <si>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</si>
  <si>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</si>
  <si>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</si>
  <si>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</si>
  <si>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</si>
  <si>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</si>
  <si>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</si>
  <si>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</si>
  <si>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</si>
  <si>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</si>
  <si>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</si>
  <si>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</si>
  <si>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</si>
  <si>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</si>
  <si>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</si>
  <si>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</si>
  <si>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</si>
  <si>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</si>
  <si>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</si>
  <si>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</si>
  <si>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</si>
  <si>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</si>
  <si>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</si>
  <si>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</si>
  <si>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</si>
  <si>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</si>
  <si>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</si>
  <si>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</si>
  <si>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</si>
  <si>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</si>
  <si>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</si>
  <si>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</si>
  <si>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</si>
  <si>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</si>
  <si>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</si>
  <si>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</si>
  <si>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</si>
  <si>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</si>
  <si>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</si>
  <si>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</si>
  <si>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</si>
  <si>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</si>
  <si>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</si>
  <si>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</si>
  <si>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</si>
  <si>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</si>
  <si>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</si>
  <si>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</si>
  <si>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</si>
  <si>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</si>
  <si>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</si>
  <si>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</si>
  <si>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</si>
  <si>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</si>
  <si>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</si>
  <si>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</si>
  <si>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</si>
  <si>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</si>
  <si>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</si>
  <si>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</si>
  <si>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</si>
  <si>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</si>
  <si>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</si>
  <si>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</si>
  <si>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</si>
  <si>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</si>
  <si>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</si>
  <si>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</si>
  <si>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</si>
  <si>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</si>
  <si>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</si>
  <si>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</si>
  <si>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</si>
  <si>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</si>
  <si>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</si>
  <si>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</si>
  <si>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</si>
  <si>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</si>
  <si>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</si>
  <si>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</si>
  <si>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</si>
  <si>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</si>
  <si>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</si>
  <si>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</si>
  <si>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</si>
  <si>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</si>
  <si>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</si>
  <si>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</si>
  <si>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</si>
  <si>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</si>
  <si>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</si>
  <si>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</si>
  <si>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</si>
  <si>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</si>
  <si>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</si>
  <si>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</si>
  <si>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</si>
  <si>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</si>
  <si>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</si>
  <si>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</si>
  <si>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</si>
  <si>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</si>
  <si>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</si>
  <si>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</si>
  <si>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</si>
  <si>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</si>
  <si>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</si>
  <si>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</si>
  <si>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</si>
  <si>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</si>
  <si>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</si>
  <si>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</si>
  <si>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</si>
  <si>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</si>
  <si>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</si>
  <si>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</si>
  <si>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</si>
  <si>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</si>
  <si>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</si>
  <si>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</si>
  <si>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</si>
  <si>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</si>
  <si>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</si>
  <si>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</si>
  <si>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</si>
  <si>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</si>
  <si>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</si>
  <si>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</si>
  <si>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</si>
  <si>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</si>
  <si>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</si>
  <si>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</si>
  <si>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</si>
  <si>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</si>
  <si>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</si>
  <si>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</si>
  <si>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</si>
  <si>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</si>
  <si>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</si>
  <si>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</si>
  <si>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</si>
  <si>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</si>
  <si>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</si>
  <si>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</si>
  <si>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</si>
  <si>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</si>
  <si>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</si>
  <si>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</si>
  <si>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</si>
  <si>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</si>
  <si>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</si>
  <si>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</si>
  <si>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</si>
  <si>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</si>
  <si>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</si>
  <si>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</si>
  <si>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</si>
  <si>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</si>
  <si>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</si>
  <si>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</si>
  <si>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</si>
  <si>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</si>
  <si>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</si>
  <si>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</si>
  <si>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</si>
  <si>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</si>
  <si>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</si>
  <si>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</si>
  <si>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</si>
  <si>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</si>
  <si>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</si>
  <si>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</si>
  <si>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</si>
  <si>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</si>
  <si>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</si>
  <si>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</si>
  <si>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</si>
  <si>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</si>
  <si>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</si>
  <si>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</si>
  <si>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</si>
  <si>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</si>
  <si>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</si>
  <si>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</si>
  <si>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</si>
  <si>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</si>
  <si>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</si>
  <si>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</si>
  <si>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</si>
  <si>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</si>
  <si>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</si>
  <si>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</si>
  <si>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</si>
  <si>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</si>
  <si>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</si>
  <si>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</si>
  <si>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</si>
  <si>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</si>
  <si>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</si>
  <si>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</si>
  <si>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</si>
  <si>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</si>
  <si>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</si>
  <si>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</si>
  <si>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</si>
  <si>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</si>
  <si>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</si>
  <si>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</si>
  <si>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</si>
  <si>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</si>
  <si>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</si>
  <si>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</si>
  <si>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</si>
  <si>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</si>
  <si>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</si>
  <si>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</si>
  <si>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</si>
  <si>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</si>
  <si>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</si>
  <si>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</si>
  <si>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</si>
  <si>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</si>
  <si>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</si>
  <si>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</si>
  <si>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</si>
  <si>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</si>
  <si>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</si>
  <si>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</si>
  <si>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</si>
  <si>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</si>
  <si>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</si>
  <si>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</si>
  <si>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</si>
  <si>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</si>
  <si>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</si>
  <si>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</si>
  <si>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</si>
  <si>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</si>
  <si>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</si>
  <si>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</si>
  <si>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</si>
  <si>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</si>
  <si>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</si>
  <si>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</si>
  <si>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</si>
  <si>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</si>
  <si>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</si>
  <si>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</si>
  <si>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</si>
  <si>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</si>
  <si>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</si>
  <si>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</si>
  <si>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</si>
  <si>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</si>
  <si>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</si>
  <si>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</si>
  <si>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</si>
  <si>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</si>
  <si>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</si>
  <si>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</si>
  <si>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</si>
  <si>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</si>
  <si>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</si>
  <si>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</si>
  <si>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</si>
  <si>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</si>
  <si>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</si>
  <si>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</si>
  <si>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</si>
  <si>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</si>
  <si>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</si>
  <si>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</si>
  <si>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</si>
  <si>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</si>
  <si>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</si>
  <si>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</si>
  <si>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</si>
  <si>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</si>
  <si>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</si>
  <si>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</si>
  <si>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</si>
  <si>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</si>
  <si>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</si>
  <si>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</si>
  <si>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</si>
  <si>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</si>
  <si>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</si>
  <si>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</si>
  <si>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</si>
  <si>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</si>
  <si>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</si>
  <si>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</si>
  <si>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</si>
  <si>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</si>
  <si>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</si>
  <si>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</si>
  <si>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</si>
  <si>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</si>
  <si>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</si>
  <si>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</si>
  <si>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</si>
  <si>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</si>
  <si>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</si>
  <si>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</si>
  <si>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</si>
  <si>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</si>
  <si>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</si>
  <si>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</si>
  <si>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</si>
  <si>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</si>
  <si>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</si>
  <si>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</si>
  <si>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</si>
  <si>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</si>
  <si>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</si>
  <si>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</si>
  <si>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</si>
  <si>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</si>
  <si>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</si>
  <si>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</si>
  <si>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</si>
  <si>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</si>
  <si>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</si>
  <si>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</si>
  <si>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</si>
  <si>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</si>
  <si>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</si>
  <si>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</si>
  <si>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</si>
  <si>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</si>
  <si>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</si>
  <si>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</si>
  <si>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</si>
  <si>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</si>
  <si>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</si>
  <si>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</si>
  <si>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</si>
  <si>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</si>
  <si>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</si>
  <si>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</si>
  <si>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</si>
  <si>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</si>
  <si>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</si>
  <si>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</si>
  <si>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</si>
  <si>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</si>
  <si>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</si>
  <si>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</si>
  <si>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</si>
  <si>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</si>
  <si>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</si>
  <si>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</si>
  <si>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</si>
  <si>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</si>
  <si>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</si>
  <si>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</si>
  <si>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</si>
  <si>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</si>
  <si>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</si>
  <si>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</si>
  <si>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</si>
  <si>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</si>
  <si>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</si>
  <si>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</si>
  <si>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</si>
  <si>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</si>
  <si>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</si>
  <si>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</si>
  <si>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</si>
  <si>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</si>
  <si>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</si>
  <si>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</si>
  <si>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</si>
  <si>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</si>
  <si>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</si>
  <si>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</si>
  <si>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</si>
  <si>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</si>
  <si>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</si>
  <si>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</si>
  <si>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</si>
  <si>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</si>
  <si>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</si>
  <si>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</si>
  <si>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</si>
  <si>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</si>
  <si>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</si>
  <si>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</si>
  <si>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</si>
  <si>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</si>
  <si>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</si>
  <si>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</si>
  <si>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</si>
  <si>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</si>
  <si>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</si>
  <si>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</si>
  <si>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</si>
  <si>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</si>
  <si>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</si>
  <si>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</si>
  <si>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</si>
  <si>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</si>
  <si>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</si>
  <si>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</si>
  <si>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</si>
  <si>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</si>
  <si>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</si>
  <si>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</si>
  <si>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</si>
  <si>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</si>
  <si>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</si>
  <si>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</si>
  <si>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</si>
  <si>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</si>
  <si>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</si>
  <si>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</si>
  <si>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</si>
  <si>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</si>
  <si>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</si>
  <si>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</si>
  <si>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</si>
  <si>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</si>
  <si>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</si>
  <si>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</si>
  <si>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</si>
  <si>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</si>
  <si>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</si>
  <si>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</si>
  <si>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</si>
  <si>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</si>
  <si>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</si>
  <si>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</si>
  <si>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</si>
  <si>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</si>
  <si>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</si>
  <si>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</si>
  <si>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</si>
  <si>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</si>
  <si>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</si>
  <si>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</si>
  <si>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</si>
  <si>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</si>
  <si>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</si>
  <si>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</si>
  <si>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</si>
  <si>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</si>
  <si>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</si>
  <si>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</si>
  <si>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</si>
  <si>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</si>
  <si>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</si>
  <si>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</si>
  <si>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</si>
  <si>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</si>
  <si>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</si>
  <si>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</si>
  <si>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</si>
  <si>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</si>
  <si>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</si>
  <si>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</si>
  <si>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</si>
  <si>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</si>
  <si>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</si>
  <si>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</si>
  <si>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</si>
  <si>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</si>
  <si>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</si>
  <si>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</si>
  <si>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</si>
  <si>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</si>
  <si>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</si>
  <si>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</si>
  <si>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</si>
  <si>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</si>
  <si>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</si>
  <si>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</si>
  <si>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</si>
  <si>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</si>
  <si>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</si>
  <si>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</si>
  <si>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</si>
  <si>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</si>
  <si>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</si>
  <si>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</si>
  <si>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</si>
  <si>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</si>
  <si>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</si>
  <si>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</si>
  <si>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</si>
  <si>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</si>
  <si>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</si>
  <si>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</si>
  <si>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</si>
  <si>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</si>
  <si>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</si>
  <si>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</si>
  <si>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</si>
  <si>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</si>
  <si>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</si>
  <si>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</si>
  <si>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</si>
  <si>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</si>
  <si>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</si>
  <si>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</si>
  <si>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</si>
  <si>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</si>
  <si>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</si>
  <si>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</si>
  <si>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</si>
  <si>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</si>
  <si>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</si>
  <si>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</si>
  <si>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</si>
  <si>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</si>
  <si>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</si>
  <si>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</si>
  <si>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</si>
  <si>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</si>
  <si>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</si>
  <si>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</si>
  <si>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</si>
  <si>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</si>
  <si>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</si>
  <si>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</si>
  <si>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</si>
  <si>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</si>
  <si>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</si>
  <si>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</si>
  <si>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</si>
  <si>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</si>
  <si>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</si>
  <si>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</si>
  <si>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</si>
  <si>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</si>
  <si>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</si>
  <si>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</si>
  <si>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</si>
  <si>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</si>
  <si>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</si>
  <si>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</si>
  <si>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</si>
  <si>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</si>
  <si>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</si>
  <si>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</si>
  <si>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</si>
  <si>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</si>
  <si>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</si>
  <si>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</si>
  <si>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</si>
  <si>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</si>
  <si>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</si>
  <si>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</si>
  <si>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</si>
  <si>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</si>
  <si>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</si>
  <si>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</si>
  <si>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</si>
  <si>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</si>
  <si>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</si>
  <si>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</si>
  <si>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</si>
  <si>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</si>
  <si>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</si>
  <si>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</si>
  <si>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</si>
  <si>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</si>
  <si>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</si>
  <si>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</si>
  <si>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</si>
  <si>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</si>
  <si>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</si>
  <si>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</si>
  <si>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</si>
  <si>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</si>
  <si>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</si>
  <si>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</si>
  <si>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</si>
  <si>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</si>
  <si>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</si>
  <si>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</si>
  <si>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</si>
  <si>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</si>
  <si>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</si>
  <si>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</si>
  <si>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</si>
  <si>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</si>
  <si>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</si>
  <si>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</si>
  <si>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</si>
  <si>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</si>
  <si>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</si>
  <si>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</si>
  <si>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</si>
  <si>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</si>
  <si>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</si>
  <si>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</si>
  <si>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</si>
  <si>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</si>
  <si>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</si>
  <si>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</si>
  <si>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</si>
  <si>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</si>
  <si>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</si>
  <si>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</si>
  <si>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</si>
  <si>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</si>
  <si>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</si>
  <si>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</si>
  <si>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</si>
  <si>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</si>
  <si>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</si>
  <si>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</si>
  <si>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</si>
  <si>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</si>
  <si>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</si>
  <si>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</si>
  <si>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</si>
  <si>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</si>
  <si>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</si>
  <si>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</si>
  <si>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</si>
  <si>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</si>
  <si>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</si>
  <si>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</si>
  <si>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</si>
  <si>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</si>
  <si>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</si>
  <si>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</si>
  <si>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</si>
  <si>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</si>
  <si>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</si>
  <si>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</si>
  <si>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</si>
  <si>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</si>
  <si>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</si>
  <si>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</si>
  <si>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</si>
  <si>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</si>
  <si>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</si>
  <si>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</si>
  <si>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</si>
  <si>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</si>
  <si>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</si>
  <si>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</si>
  <si>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</si>
  <si>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</si>
  <si>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</si>
  <si>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</si>
  <si>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</si>
  <si>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</si>
  <si>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</si>
  <si>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</si>
  <si>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</si>
  <si>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</si>
  <si>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</si>
  <si>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</si>
  <si>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</si>
  <si>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</si>
  <si>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</si>
  <si>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</si>
  <si>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</si>
  <si>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</si>
  <si>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</si>
  <si>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</si>
  <si>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</si>
  <si>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</si>
  <si>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</si>
  <si>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</si>
  <si>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</si>
  <si>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</si>
  <si>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</si>
  <si>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</si>
  <si>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</si>
  <si>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</si>
  <si>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</si>
  <si>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</si>
  <si>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</si>
  <si>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</si>
  <si>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</si>
  <si>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</si>
  <si>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</si>
  <si>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</si>
  <si>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</si>
  <si>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</si>
  <si>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</si>
  <si>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</si>
  <si>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</si>
  <si>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</si>
  <si>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</si>
  <si>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</si>
  <si>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</si>
  <si>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</si>
  <si>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</si>
  <si>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</si>
  <si>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</si>
  <si>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</si>
  <si>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</si>
  <si>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</si>
  <si>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</si>
  <si>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</si>
  <si>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</si>
  <si>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</si>
  <si>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</si>
  <si>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</si>
  <si>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</si>
  <si>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</si>
  <si>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</si>
  <si>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</si>
  <si>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</si>
  <si>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</si>
  <si>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</si>
  <si>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</si>
  <si>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</si>
  <si>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</si>
  <si>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</si>
  <si>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</si>
  <si>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</si>
  <si>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</si>
  <si>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</si>
  <si>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</si>
  <si>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</si>
  <si>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</si>
  <si>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</si>
  <si>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</si>
  <si>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</si>
  <si>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</si>
  <si>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</si>
  <si>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</si>
  <si>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</si>
  <si>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</si>
  <si>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</si>
  <si>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</si>
  <si>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</si>
  <si>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</si>
  <si>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</si>
  <si>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</si>
  <si>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</si>
  <si>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</si>
  <si>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</si>
  <si>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</si>
  <si>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</si>
  <si>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</si>
  <si>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</si>
  <si>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</si>
  <si>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</si>
  <si>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</si>
  <si>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</si>
  <si>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</si>
  <si>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</si>
  <si>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</si>
  <si>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</si>
  <si>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</si>
  <si>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</si>
  <si>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</si>
  <si>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</si>
  <si>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</si>
  <si>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</si>
  <si>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</si>
  <si>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</si>
  <si>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</si>
  <si>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</si>
  <si>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</si>
  <si>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</si>
  <si>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</si>
  <si>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</si>
  <si>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</si>
  <si>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</si>
  <si>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</si>
  <si>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</si>
  <si>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</si>
  <si>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</si>
  <si>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</si>
  <si>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</si>
  <si>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</si>
  <si>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</si>
  <si>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</si>
  <si>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</si>
  <si>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</si>
  <si>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</si>
  <si>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</si>
  <si>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</si>
  <si>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</si>
  <si>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</si>
  <si>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</si>
  <si>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</si>
  <si>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</si>
  <si>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</si>
  <si>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</si>
  <si>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</si>
  <si>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</si>
  <si>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</si>
  <si>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</si>
  <si>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</si>
  <si>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</si>
  <si>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</si>
  <si>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</si>
  <si>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</si>
  <si>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</si>
  <si>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</si>
  <si>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</si>
  <si>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</si>
  <si>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</si>
  <si>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</si>
  <si>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</si>
  <si>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</si>
  <si>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</si>
  <si>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</si>
  <si>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</si>
  <si>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</si>
  <si>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</si>
  <si>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</si>
  <si>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</si>
  <si>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</si>
  <si>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</si>
  <si>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</si>
  <si>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</si>
  <si>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</si>
  <si>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</si>
  <si>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</si>
  <si>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</si>
  <si>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</si>
  <si>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</si>
  <si>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</si>
  <si>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</si>
  <si>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</si>
  <si>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</si>
  <si>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</si>
  <si>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</si>
  <si>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</si>
  <si>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</si>
  <si>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</si>
  <si>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</si>
  <si>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</si>
  <si>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</si>
  <si>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</si>
  <si>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</si>
  <si>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</si>
  <si>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</si>
  <si>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</si>
  <si>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</si>
  <si>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</si>
  <si>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</si>
  <si>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</si>
  <si>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</si>
  <si>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</si>
  <si>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</si>
  <si>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</si>
  <si>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</si>
  <si>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</si>
  <si>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</si>
  <si>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</si>
  <si>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</si>
  <si>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</si>
  <si>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</si>
  <si>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</si>
  <si>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</si>
  <si>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</si>
  <si>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</si>
  <si>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</si>
  <si>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</si>
  <si>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</si>
  <si>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</si>
  <si>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</si>
  <si>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</si>
  <si>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</si>
  <si>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</si>
  <si>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</si>
  <si>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</si>
  <si>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</si>
  <si>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</si>
  <si>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</si>
  <si>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</si>
  <si>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</si>
  <si>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</si>
  <si>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</si>
  <si>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</si>
  <si>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</si>
  <si>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</si>
  <si>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</si>
  <si>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</si>
  <si>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</si>
  <si>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</si>
  <si>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</si>
  <si>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</si>
  <si>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</si>
  <si>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</si>
  <si>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</si>
  <si>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</si>
  <si>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</si>
  <si>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</si>
  <si>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</si>
  <si>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</si>
  <si>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</si>
  <si>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</si>
  <si>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</si>
  <si>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</si>
  <si>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</si>
  <si>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</si>
  <si>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</si>
  <si>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</si>
  <si>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</si>
  <si>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</si>
  <si>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</si>
  <si>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</si>
  <si>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</si>
  <si>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</si>
  <si>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</si>
  <si>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</si>
  <si>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</si>
  <si>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</si>
  <si>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</si>
  <si>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</si>
  <si>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</si>
  <si>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</si>
  <si>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</si>
  <si>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</si>
  <si>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</si>
  <si>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</si>
  <si>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</si>
  <si>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</si>
  <si>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</si>
  <si>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</si>
  <si>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</si>
  <si>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</si>
  <si>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</si>
  <si>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</si>
  <si>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</si>
  <si>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</si>
  <si>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</si>
  <si>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</si>
  <si>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</si>
  <si>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</si>
  <si>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</si>
  <si>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</si>
  <si>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</si>
  <si>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</si>
  <si>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</si>
  <si>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</si>
  <si>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</si>
  <si>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</si>
  <si>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</si>
  <si>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</si>
  <si>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</si>
  <si>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</si>
  <si>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</si>
  <si>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</si>
  <si>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</si>
  <si>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</si>
  <si>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</si>
  <si>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</si>
  <si>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</si>
  <si>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</si>
  <si>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</si>
  <si>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</si>
  <si>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</si>
  <si>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</si>
  <si>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</si>
  <si>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</si>
  <si>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</si>
  <si>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</si>
  <si>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</si>
  <si>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</si>
  <si>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</si>
  <si>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</si>
  <si>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</si>
  <si>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</si>
  <si>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</si>
  <si>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</si>
  <si>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</si>
  <si>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</si>
  <si>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</si>
  <si>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</si>
  <si>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</si>
  <si>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</si>
  <si>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</si>
  <si>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</si>
  <si>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</si>
  <si>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</si>
  <si>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</si>
  <si>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</si>
  <si>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</si>
  <si>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</si>
  <si>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</si>
  <si>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</si>
  <si>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</si>
  <si>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</si>
  <si>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</si>
  <si>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</si>
  <si>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</si>
  <si>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</si>
  <si>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</si>
  <si>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</si>
  <si>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</si>
  <si>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</si>
  <si>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</si>
  <si>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</si>
  <si>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</si>
  <si>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</si>
  <si>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</si>
  <si>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</si>
  <si>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</si>
  <si>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</si>
  <si>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</si>
  <si>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</si>
  <si>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</si>
  <si>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</si>
  <si>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</si>
  <si>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</si>
  <si>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</si>
  <si>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</si>
  <si>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</si>
  <si>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</si>
  <si>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</si>
  <si>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</si>
  <si>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</si>
  <si>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</si>
  <si>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</si>
  <si>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</si>
  <si>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</si>
  <si>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</si>
  <si>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</si>
  <si>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</si>
  <si>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</si>
  <si>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</si>
  <si>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</si>
  <si>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</si>
  <si>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</si>
  <si>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</si>
  <si>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</si>
  <si>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</si>
  <si>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</si>
  <si>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</si>
  <si>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</si>
  <si>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</si>
  <si>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</si>
  <si>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</si>
  <si>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</si>
  <si>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</si>
  <si>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</si>
  <si>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</si>
  <si>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</si>
  <si>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</si>
  <si>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</si>
  <si>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</si>
  <si>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</si>
  <si>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</si>
  <si>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</si>
  <si>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</si>
  <si>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</si>
  <si>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</si>
  <si>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</si>
  <si>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</si>
  <si>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</si>
  <si>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</si>
  <si>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</si>
  <si>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</si>
  <si>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</si>
  <si>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</si>
  <si>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</si>
  <si>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</si>
  <si>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</si>
  <si>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</si>
  <si>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</si>
  <si>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</si>
  <si>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</si>
  <si>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</si>
  <si>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</si>
  <si>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</si>
  <si>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</si>
  <si>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</si>
  <si>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</si>
  <si>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</si>
  <si>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</si>
  <si>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</si>
  <si>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</si>
  <si>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</si>
  <si>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</si>
  <si>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</si>
  <si>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</si>
  <si>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</si>
  <si>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</si>
  <si>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</si>
  <si>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</si>
  <si>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</si>
  <si>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</si>
  <si>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</si>
  <si>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</si>
  <si>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</si>
  <si>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</si>
  <si>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</si>
  <si>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</si>
  <si>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</si>
  <si>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</si>
  <si>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</si>
  <si>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</si>
  <si>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</si>
  <si>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</si>
  <si>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</si>
  <si>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</si>
  <si>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</si>
  <si>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</si>
  <si>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</si>
  <si>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</si>
  <si>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</si>
  <si>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</si>
  <si>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</si>
  <si>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</si>
  <si>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</si>
  <si>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</si>
  <si>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</si>
  <si>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</si>
  <si>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</si>
  <si>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</si>
  <si>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</si>
  <si>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</si>
  <si>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</si>
  <si>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</si>
  <si>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</si>
  <si>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</si>
  <si>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</si>
  <si>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</si>
  <si>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</si>
  <si>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</si>
  <si>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</si>
  <si>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</si>
  <si>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</si>
  <si>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</si>
  <si>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</si>
  <si>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</si>
  <si>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</si>
  <si>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</si>
  <si>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</si>
  <si>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</si>
  <si>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</si>
  <si>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</si>
  <si>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</si>
  <si>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</si>
  <si>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</si>
  <si>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</si>
  <si>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</si>
  <si>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</si>
  <si>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</si>
  <si>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</si>
  <si>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</si>
  <si>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</si>
  <si>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</si>
  <si>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</si>
  <si>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</si>
  <si>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</si>
  <si>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</si>
  <si>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</si>
  <si>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</si>
  <si>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</si>
  <si>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</si>
  <si>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</si>
  <si>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</si>
  <si>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</si>
  <si>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</si>
  <si>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</si>
  <si>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</si>
  <si>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</si>
  <si>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</si>
  <si>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</si>
  <si>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</si>
  <si>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</si>
  <si>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</si>
  <si>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</si>
  <si>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</si>
  <si>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</si>
  <si>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</si>
  <si>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</si>
  <si>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</si>
  <si>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</si>
  <si>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</si>
  <si>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</si>
  <si>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</si>
  <si>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</si>
  <si>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</si>
  <si>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</si>
  <si>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</si>
  <si>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</si>
  <si>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</si>
  <si>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</si>
  <si>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</si>
  <si>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</si>
  <si>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</si>
  <si>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</si>
  <si>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</si>
  <si>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</si>
  <si>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</si>
  <si>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</si>
  <si>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</si>
  <si>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</si>
  <si>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</si>
  <si>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</si>
  <si>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</si>
  <si>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</si>
  <si>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</si>
  <si>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</si>
  <si>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</si>
  <si>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</si>
  <si>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</si>
  <si>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</si>
  <si>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</si>
  <si>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</si>
  <si>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</si>
  <si>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</si>
  <si>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</si>
  <si>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</si>
  <si>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</si>
  <si>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</si>
  <si>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</si>
  <si>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</si>
  <si>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</si>
  <si>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</si>
  <si>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</si>
  <si>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</si>
  <si>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</si>
  <si>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</si>
  <si>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</si>
  <si>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</si>
  <si>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</si>
  <si>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</si>
  <si>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</si>
  <si>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</si>
  <si>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</si>
  <si>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</si>
  <si>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</si>
  <si>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</si>
  <si>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</si>
  <si>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</si>
  <si>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</si>
  <si>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</si>
  <si>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</si>
  <si>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</si>
  <si>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</si>
  <si>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</si>
  <si>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</si>
  <si>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</si>
  <si>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</si>
  <si>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</si>
  <si>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</si>
  <si>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</si>
  <si>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</si>
  <si>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</si>
  <si>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</si>
  <si>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</si>
  <si>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</si>
  <si>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</si>
  <si>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</si>
  <si>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</si>
  <si>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</si>
  <si>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</si>
  <si>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</si>
  <si>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</si>
  <si>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</si>
  <si>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</si>
  <si>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</si>
  <si>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</si>
  <si>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</si>
  <si>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</si>
  <si>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</si>
  <si>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</si>
  <si>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</si>
  <si>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</si>
  <si>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</si>
  <si>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</si>
  <si>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</si>
  <si>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</si>
  <si>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</si>
  <si>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</si>
  <si>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</si>
  <si>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</si>
  <si>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</si>
  <si>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</si>
  <si>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</si>
  <si>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</si>
  <si>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</si>
  <si>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</si>
  <si>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</si>
  <si>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</si>
  <si>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</si>
  <si>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</si>
  <si>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</si>
  <si>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</si>
  <si>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</si>
  <si>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</si>
  <si>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</si>
  <si>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</si>
  <si>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</si>
  <si>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</si>
  <si>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</si>
  <si>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</si>
  <si>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</si>
  <si>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</si>
  <si>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</si>
  <si>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</si>
  <si>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</si>
  <si>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</si>
  <si>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</si>
  <si>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</si>
  <si>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</si>
  <si>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</si>
  <si>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</si>
  <si>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</si>
  <si>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</si>
  <si>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</si>
  <si>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</si>
  <si>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</si>
  <si>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</si>
  <si>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</si>
  <si>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</si>
  <si>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</si>
  <si>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</si>
  <si>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</si>
  <si>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</si>
  <si>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</si>
  <si>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</si>
  <si>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</si>
  <si>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</si>
  <si>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</si>
  <si>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</si>
  <si>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</si>
  <si>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</si>
  <si>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</si>
  <si>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</si>
  <si>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</si>
  <si>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</si>
  <si>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</si>
  <si>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</si>
  <si>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</si>
  <si>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</si>
  <si>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</si>
  <si>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</si>
  <si>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</si>
  <si>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</si>
  <si>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</si>
  <si>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</si>
  <si>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</si>
  <si>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</si>
  <si>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</si>
  <si>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</si>
  <si>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</si>
  <si>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</si>
  <si>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</si>
  <si>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</si>
  <si>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</si>
  <si>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</si>
  <si>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</si>
  <si>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</si>
  <si>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</si>
  <si>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</si>
  <si>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</si>
  <si>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</si>
  <si>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</si>
  <si>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</si>
  <si>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</si>
  <si>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</si>
  <si>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</si>
  <si>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</si>
  <si>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</si>
  <si>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</si>
  <si>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</si>
  <si>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</si>
  <si>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</si>
  <si>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</si>
  <si>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</si>
  <si>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</si>
  <si>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</si>
  <si>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</si>
  <si>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</si>
  <si>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</si>
  <si>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</si>
  <si>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</si>
  <si>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</si>
  <si>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</si>
  <si>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</si>
  <si>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</si>
  <si>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</si>
  <si>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</si>
  <si>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</si>
  <si>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</si>
  <si>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</si>
  <si>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</si>
  <si>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</si>
  <si>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</si>
  <si>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</si>
  <si>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</si>
  <si>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</si>
  <si>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</si>
  <si>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</si>
  <si>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</si>
  <si>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</si>
  <si>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</si>
  <si>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</si>
  <si>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</si>
  <si>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</si>
  <si>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</si>
  <si>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</si>
  <si>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</si>
  <si>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</si>
  <si>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</si>
  <si>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</si>
  <si>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</si>
  <si>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</si>
  <si>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</si>
  <si>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</si>
  <si>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</si>
  <si>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</si>
  <si>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</si>
  <si>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</si>
  <si>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</si>
  <si>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</si>
  <si>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</si>
  <si>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</si>
  <si>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</si>
  <si>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</si>
  <si>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</si>
  <si>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</si>
  <si>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</si>
  <si>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</si>
  <si>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</si>
  <si>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</si>
  <si>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</si>
  <si>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</si>
  <si>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</si>
  <si>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</si>
  <si>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</si>
  <si>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</si>
  <si>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</si>
  <si>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</si>
  <si>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</si>
  <si>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</si>
  <si>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</si>
  <si>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</si>
  <si>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</si>
  <si>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</si>
  <si>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</si>
  <si>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</si>
  <si>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</si>
  <si>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</si>
  <si>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</si>
  <si>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</si>
  <si>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</si>
  <si>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</si>
  <si>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</si>
  <si>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</si>
  <si>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</si>
  <si>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</si>
  <si>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</si>
  <si>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</si>
  <si>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</si>
  <si>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</si>
  <si>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</si>
  <si>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</si>
  <si>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</si>
  <si>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</si>
  <si>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</si>
  <si>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</si>
  <si>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</si>
  <si>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</si>
  <si>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</si>
  <si>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</si>
  <si>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</si>
  <si>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</si>
  <si>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</si>
  <si>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</si>
  <si>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</si>
  <si>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</si>
  <si>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</si>
  <si>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</si>
  <si>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</si>
  <si>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</si>
  <si>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</si>
  <si>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</si>
  <si>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</si>
  <si>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</si>
  <si>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</si>
  <si>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</si>
  <si>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</si>
  <si>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</si>
  <si>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</si>
  <si>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</si>
  <si>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</si>
  <si>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</si>
  <si>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</si>
  <si>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</si>
  <si>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</si>
  <si>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</si>
  <si>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</si>
  <si>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</si>
  <si>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</si>
  <si>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</si>
  <si>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</si>
  <si>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</si>
  <si>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</si>
  <si>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</si>
  <si>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</si>
  <si>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</si>
  <si>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</si>
  <si>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</si>
  <si>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</si>
  <si>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</si>
  <si>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</si>
  <si>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</si>
  <si>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</si>
  <si>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</si>
  <si>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</si>
  <si>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</si>
  <si>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</si>
  <si>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</si>
  <si>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</si>
  <si>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</si>
  <si>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</si>
  <si>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</si>
  <si>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</si>
  <si>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</si>
  <si>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</si>
  <si>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</si>
  <si>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</si>
  <si>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</si>
  <si>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</si>
  <si>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</si>
  <si>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</si>
  <si>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</si>
  <si>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</si>
  <si>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</si>
  <si>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</si>
  <si>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</si>
  <si>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</si>
  <si>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</si>
  <si>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</si>
  <si>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</si>
  <si>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</si>
  <si>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</si>
  <si>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</si>
  <si>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</si>
  <si>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</si>
  <si>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</si>
  <si>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</si>
  <si>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</si>
  <si>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</si>
  <si>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</si>
  <si>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</si>
  <si>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</si>
  <si>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</si>
  <si>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</si>
  <si>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</si>
  <si>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</si>
  <si>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</si>
  <si>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</si>
  <si>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</si>
  <si>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</si>
  <si>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</si>
  <si>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</si>
  <si>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</si>
  <si>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</si>
  <si>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</si>
  <si>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</si>
  <si>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</si>
  <si>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</si>
  <si>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</si>
  <si>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</si>
  <si>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</si>
  <si>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</si>
  <si>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</si>
  <si>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</si>
  <si>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</si>
  <si>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</si>
  <si>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</si>
  <si>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</si>
  <si>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</si>
  <si>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</si>
  <si>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</si>
  <si>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</si>
  <si>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</si>
  <si>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</si>
  <si>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</si>
  <si>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</si>
  <si>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</si>
  <si>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</si>
  <si>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</si>
  <si>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</si>
  <si>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</si>
  <si>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</si>
  <si>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</si>
  <si>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</si>
  <si>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</si>
  <si>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</si>
  <si>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</si>
  <si>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</si>
  <si>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</si>
  <si>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</si>
  <si>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</si>
  <si>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</si>
  <si>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</si>
  <si>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</si>
  <si>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</si>
  <si>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</si>
  <si>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</si>
  <si>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</si>
  <si>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</si>
  <si>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</si>
  <si>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</si>
  <si>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</si>
  <si>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</si>
  <si>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</si>
  <si>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</si>
  <si>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</si>
  <si>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</si>
  <si>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</si>
  <si>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</si>
  <si>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</si>
  <si>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</si>
  <si>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</si>
  <si>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</si>
  <si>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</si>
  <si>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</si>
  <si>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</si>
  <si>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</si>
  <si>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</si>
  <si>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</si>
  <si>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</si>
  <si>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</si>
  <si>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</si>
  <si>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</si>
  <si>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</si>
  <si>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</si>
  <si>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</si>
  <si>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</si>
  <si>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</si>
  <si>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</si>
  <si>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</si>
  <si>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</si>
  <si>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</si>
  <si>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</si>
  <si>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</si>
  <si>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</si>
  <si>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</si>
  <si>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</si>
  <si>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</si>
  <si>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</si>
  <si>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</si>
  <si>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</si>
  <si>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</si>
  <si>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</si>
  <si>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</si>
  <si>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</si>
  <si>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</si>
  <si>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</si>
  <si>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</si>
  <si>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</si>
  <si>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</si>
  <si>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</si>
  <si>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</si>
  <si>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</si>
  <si>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</si>
  <si>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</si>
  <si>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</si>
  <si>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</si>
  <si>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</si>
  <si>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</si>
  <si>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</si>
  <si>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</si>
  <si>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</si>
  <si>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</si>
  <si>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</si>
  <si>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</si>
  <si>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</si>
  <si>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</si>
  <si>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</si>
  <si>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</si>
  <si>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</si>
  <si>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</si>
  <si>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</si>
  <si>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</si>
  <si>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</si>
  <si>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</si>
  <si>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</si>
  <si>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</si>
  <si>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</si>
  <si>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</si>
  <si>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</si>
  <si>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</si>
  <si>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</si>
  <si>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</si>
  <si>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</si>
  <si>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</si>
  <si>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</si>
  <si>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</si>
  <si>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</si>
  <si>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</si>
  <si>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</si>
  <si>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</si>
  <si>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</si>
  <si>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</si>
  <si>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</si>
  <si>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</si>
  <si>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</si>
  <si>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</si>
  <si>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</si>
  <si>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</si>
  <si>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</si>
  <si>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</si>
  <si>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</si>
  <si>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</si>
  <si>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</si>
  <si>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</si>
  <si>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</si>
  <si>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</si>
  <si>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</si>
  <si>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</si>
  <si>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</si>
  <si>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</si>
  <si>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</si>
  <si>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</si>
  <si>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</si>
  <si>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</si>
  <si>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</si>
  <si>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</si>
  <si>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</si>
  <si>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</si>
  <si>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</si>
  <si>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</si>
  <si>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</si>
  <si>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</si>
  <si>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</si>
  <si>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</si>
  <si>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</si>
  <si>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</si>
  <si>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</si>
  <si>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</si>
  <si>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</si>
  <si>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</si>
  <si>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</si>
  <si>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</si>
  <si>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</si>
  <si>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</si>
  <si>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</si>
  <si>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</si>
  <si>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</si>
  <si>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</si>
  <si>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</si>
  <si>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</si>
  <si>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</si>
  <si>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</si>
  <si>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</si>
  <si>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</si>
  <si>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</si>
  <si>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</si>
  <si>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</si>
  <si>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</si>
  <si>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</si>
  <si>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</si>
  <si>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</si>
  <si>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</si>
  <si>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</si>
  <si>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</si>
  <si>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</si>
  <si>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</si>
  <si>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</si>
  <si>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</si>
  <si>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</si>
  <si>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</si>
  <si>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</si>
  <si>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</si>
  <si>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</si>
  <si>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</si>
  <si>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</si>
  <si>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</si>
  <si>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</si>
  <si>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</si>
  <si>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</si>
  <si>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</si>
  <si>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</si>
  <si>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</si>
  <si>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</si>
  <si>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</si>
  <si>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</si>
  <si>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</si>
  <si>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</si>
  <si>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</si>
  <si>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</si>
  <si>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</si>
  <si>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</si>
  <si>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</si>
  <si>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</si>
  <si>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</si>
  <si>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</si>
  <si>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</si>
  <si>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</si>
  <si>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</si>
  <si>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</si>
  <si>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</si>
  <si>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</si>
  <si>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</si>
  <si>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</si>
  <si>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</si>
  <si>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</si>
  <si>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</si>
  <si>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</si>
  <si>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</si>
  <si>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</si>
  <si>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</si>
  <si>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</si>
  <si>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</si>
  <si>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</si>
  <si>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</si>
  <si>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</si>
  <si>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</si>
  <si>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</si>
  <si>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</si>
  <si>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</si>
  <si>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</si>
  <si>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</si>
  <si>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</si>
  <si>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</si>
  <si>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</si>
  <si>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</si>
  <si>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</si>
  <si>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</si>
  <si>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</si>
  <si>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</si>
  <si>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</si>
  <si>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</si>
  <si>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</si>
  <si>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</si>
  <si>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</si>
  <si>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</si>
  <si>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</si>
  <si>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</si>
  <si>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</si>
  <si>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</si>
  <si>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</si>
  <si>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</si>
  <si>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</si>
  <si>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</si>
  <si>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</si>
  <si>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</si>
  <si>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</si>
  <si>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</si>
  <si>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</si>
  <si>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</si>
  <si>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</si>
  <si>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</si>
  <si>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</si>
  <si>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</si>
  <si>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</si>
  <si>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</si>
  <si>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</si>
  <si>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</si>
  <si>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</si>
  <si>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</si>
  <si>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</si>
  <si>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</si>
  <si>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</si>
  <si>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</si>
  <si>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</si>
  <si>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</si>
  <si>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</si>
  <si>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</si>
  <si>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</si>
  <si>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</si>
  <si>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</si>
  <si>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</si>
  <si>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</si>
  <si>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</si>
  <si>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</si>
  <si>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</si>
  <si>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</si>
  <si>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</si>
  <si>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</si>
  <si>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</si>
  <si>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</si>
  <si>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</si>
  <si>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</si>
  <si>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</si>
  <si>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</si>
  <si>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</si>
  <si>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</si>
  <si>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</si>
  <si>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</si>
  <si>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</si>
  <si>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</si>
  <si>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</si>
  <si>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</si>
  <si>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</si>
  <si>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</si>
  <si>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</si>
  <si>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</si>
  <si>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</si>
  <si>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</si>
  <si>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</si>
  <si>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</si>
  <si>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</si>
  <si>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</si>
  <si>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</si>
  <si>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</si>
  <si>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</si>
  <si>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</si>
  <si>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</si>
  <si>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</si>
  <si>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</si>
  <si>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</si>
  <si>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</si>
  <si>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</si>
  <si>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</si>
  <si>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</si>
  <si>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</si>
  <si>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</si>
  <si>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</si>
  <si>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</si>
  <si>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</si>
  <si>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</si>
  <si>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</si>
  <si>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</si>
  <si>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</si>
  <si>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</si>
  <si>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</si>
  <si>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</si>
  <si>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</si>
  <si>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</si>
  <si>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</si>
  <si>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</si>
  <si>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</si>
  <si>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</si>
  <si>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</si>
  <si>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</si>
  <si>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</si>
  <si>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</si>
  <si>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</si>
  <si>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</si>
  <si>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</si>
  <si>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</si>
  <si>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</si>
  <si>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</si>
  <si>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</si>
  <si>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</si>
  <si>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</si>
  <si>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</si>
  <si>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</si>
  <si>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</si>
  <si>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</si>
  <si>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</si>
  <si>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</si>
  <si>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</si>
  <si>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</si>
  <si>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</si>
  <si>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</si>
  <si>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</si>
  <si>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</si>
  <si>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</si>
  <si>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</si>
  <si>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</si>
  <si>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</si>
  <si>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</si>
  <si>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</si>
  <si>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</si>
  <si>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</si>
  <si>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</si>
  <si>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</si>
  <si>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</si>
  <si>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</si>
  <si>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</si>
  <si>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</si>
  <si>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</si>
  <si>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</si>
  <si>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</si>
  <si>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</si>
  <si>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</si>
  <si>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</si>
  <si>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</si>
  <si>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</si>
  <si>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</si>
  <si>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</si>
  <si>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</si>
  <si>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</si>
  <si>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</si>
  <si>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</si>
  <si>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</si>
  <si>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</si>
  <si>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</si>
  <si>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</si>
  <si>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</si>
  <si>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</si>
  <si>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</si>
  <si>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</si>
  <si>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</si>
  <si>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</si>
  <si>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</si>
  <si>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</si>
  <si>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</si>
  <si>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</si>
  <si>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</si>
  <si>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</si>
  <si>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</si>
  <si>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</si>
  <si>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</si>
  <si>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</si>
  <si>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</si>
  <si>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</si>
  <si>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</si>
  <si>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</si>
  <si>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</si>
  <si>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</si>
  <si>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</si>
  <si>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</si>
  <si>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</si>
  <si>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</si>
  <si>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</si>
  <si>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</si>
  <si>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</si>
  <si>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</si>
  <si>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</si>
  <si>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</si>
  <si>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</si>
  <si>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</si>
  <si>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</si>
  <si>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</si>
  <si>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</si>
  <si>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</si>
  <si>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</si>
  <si>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</si>
  <si>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</si>
  <si>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</si>
  <si>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</si>
  <si>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</si>
  <si>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</si>
  <si>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</si>
  <si>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</si>
  <si>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</si>
  <si>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</si>
  <si>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</si>
  <si>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</si>
  <si>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</si>
  <si>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</si>
  <si>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</si>
  <si>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</si>
  <si>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</si>
  <si>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</si>
  <si>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</si>
  <si>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</si>
  <si>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</si>
  <si>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</si>
  <si>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</si>
  <si>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</si>
  <si>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</si>
  <si>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</si>
  <si>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</si>
  <si>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</si>
  <si>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</si>
  <si>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</si>
  <si>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</si>
  <si>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</si>
  <si>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</si>
  <si>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</si>
  <si>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</si>
  <si>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</si>
  <si>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</si>
  <si>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</si>
  <si>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</si>
  <si>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</si>
  <si>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</si>
  <si>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</si>
  <si>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</si>
  <si>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</si>
  <si>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</si>
  <si>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</si>
  <si>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</si>
  <si>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</si>
  <si>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</si>
  <si>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</si>
  <si>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</si>
  <si>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</si>
  <si>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</si>
  <si>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</si>
  <si>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</si>
  <si>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</si>
  <si>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</si>
  <si>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</si>
  <si>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</si>
  <si>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</si>
  <si>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</si>
  <si>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</si>
  <si>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</si>
  <si>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</si>
  <si>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</si>
  <si>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</si>
  <si>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</si>
  <si>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</si>
  <si>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</si>
  <si>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</si>
  <si>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</si>
  <si>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</si>
  <si>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</si>
  <si>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</si>
  <si>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</si>
  <si>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</si>
  <si>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</si>
  <si>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</si>
  <si>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</si>
  <si>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</si>
  <si>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</si>
  <si>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</si>
  <si>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</si>
  <si>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</si>
  <si>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</si>
  <si>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</si>
  <si>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</si>
  <si>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</si>
  <si>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</si>
  <si>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</si>
  <si>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</si>
  <si>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</si>
  <si>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</si>
  <si>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</si>
  <si>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</si>
  <si>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</si>
  <si>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</si>
  <si>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</si>
  <si>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</si>
  <si>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</si>
  <si>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</si>
  <si>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</si>
  <si>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</si>
  <si>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</si>
  <si>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</si>
  <si>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</si>
  <si>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</si>
  <si>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</si>
  <si>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</si>
  <si>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</si>
  <si>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</si>
  <si>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</si>
  <si>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</si>
  <si>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</si>
  <si>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</si>
  <si>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</si>
  <si>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</si>
  <si>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</si>
  <si>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</si>
  <si>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</si>
  <si>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</si>
  <si>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</si>
  <si>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</si>
  <si>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</si>
  <si>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</si>
  <si>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</si>
  <si>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</si>
  <si>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</si>
  <si>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</si>
  <si>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</si>
  <si>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</si>
  <si>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</si>
  <si>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</si>
  <si>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</si>
  <si>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</si>
  <si>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</si>
  <si>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</si>
  <si>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</si>
  <si>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</si>
  <si>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</si>
  <si>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</si>
  <si>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</si>
  <si>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</si>
  <si>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</si>
  <si>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</si>
  <si>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</si>
  <si>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</si>
  <si>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</si>
  <si>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</si>
  <si>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</si>
  <si>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</si>
  <si>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</si>
  <si>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</si>
  <si>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</si>
  <si>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</si>
  <si>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</si>
  <si>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</si>
  <si>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</si>
  <si>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</si>
  <si>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</si>
  <si>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</si>
  <si>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</si>
  <si>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</si>
  <si>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</si>
  <si>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</si>
  <si>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</si>
  <si>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</si>
  <si>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</si>
  <si>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</si>
  <si>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</si>
  <si>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</si>
  <si>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</si>
  <si>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</si>
  <si>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</si>
  <si>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</si>
  <si>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</si>
  <si>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</si>
  <si>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</si>
  <si>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</si>
  <si>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</si>
  <si>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</si>
  <si>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</si>
  <si>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</si>
  <si>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</si>
  <si>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</si>
  <si>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</si>
  <si>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</si>
  <si>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</si>
  <si>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</si>
  <si>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</si>
  <si>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</si>
  <si>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</si>
  <si>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</si>
  <si>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</si>
  <si>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</si>
  <si>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</si>
  <si>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</si>
  <si>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</si>
  <si>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</si>
  <si>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</si>
  <si>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</si>
  <si>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</si>
  <si>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</si>
  <si>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</si>
  <si>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</si>
  <si>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</si>
  <si>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</si>
  <si>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</si>
  <si>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</si>
  <si>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</si>
  <si>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</si>
  <si>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</si>
  <si>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</si>
  <si>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</si>
  <si>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</si>
  <si>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</si>
  <si>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</si>
  <si>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</si>
  <si>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</si>
  <si>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</si>
  <si>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</si>
  <si>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</si>
  <si>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</si>
  <si>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</si>
  <si>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</si>
  <si>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</si>
  <si>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</si>
  <si>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</si>
  <si>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</si>
  <si>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</si>
  <si>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</si>
  <si>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</si>
  <si>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</si>
  <si>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</si>
  <si>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</si>
  <si>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</si>
  <si>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</si>
  <si>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</si>
  <si>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</si>
  <si>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</si>
  <si>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</si>
  <si>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</si>
  <si>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</si>
  <si>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</si>
  <si>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</si>
  <si>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</si>
  <si>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</si>
  <si>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</si>
  <si>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</si>
  <si>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</si>
  <si>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</si>
  <si>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</si>
  <si>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</si>
  <si>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</si>
  <si>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</si>
  <si>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</si>
  <si>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</si>
  <si>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</si>
  <si>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</si>
  <si>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</si>
  <si>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</si>
  <si>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</si>
  <si>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</si>
  <si>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</si>
  <si>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</si>
  <si>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</si>
  <si>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</si>
  <si>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</si>
  <si>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</si>
  <si>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</si>
  <si>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</si>
  <si>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</si>
  <si>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</si>
  <si>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</si>
  <si>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</si>
  <si>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</si>
  <si>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</si>
  <si>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</si>
  <si>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</si>
  <si>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</si>
  <si>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</si>
  <si>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</si>
  <si>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</si>
  <si>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</si>
  <si>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</si>
  <si>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</si>
  <si>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</si>
  <si>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</si>
  <si>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</si>
  <si>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</si>
  <si>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</si>
  <si>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</si>
  <si>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</si>
  <si>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</si>
  <si>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</si>
  <si>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</si>
  <si>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</si>
  <si>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</si>
  <si>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</si>
  <si>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</si>
  <si>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</si>
  <si>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</si>
  <si>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</si>
  <si>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</si>
  <si>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</si>
  <si>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</si>
  <si>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</si>
  <si>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</si>
  <si>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</si>
  <si>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</si>
  <si>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</si>
  <si>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</si>
  <si>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</si>
  <si>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</si>
  <si>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</si>
  <si>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</si>
  <si>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</si>
  <si>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</si>
  <si>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</si>
  <si>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</si>
  <si>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</si>
  <si>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</si>
  <si>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</si>
  <si>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</si>
  <si>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</si>
  <si>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</si>
  <si>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</si>
  <si>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</si>
  <si>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</si>
  <si>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</si>
  <si>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</si>
  <si>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</si>
  <si>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</si>
  <si>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</si>
  <si>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</si>
  <si>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</si>
  <si>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</si>
  <si>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</si>
  <si>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</si>
  <si>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</si>
  <si>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</si>
  <si>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</si>
  <si>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</si>
  <si>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</si>
  <si>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</si>
  <si>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</si>
  <si>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</si>
  <si>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</si>
  <si>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</si>
  <si>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</si>
  <si>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</si>
  <si>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</si>
  <si>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</si>
  <si>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</si>
  <si>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</si>
  <si>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</si>
  <si>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</si>
  <si>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</si>
  <si>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</si>
  <si>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</si>
  <si>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</si>
  <si>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</si>
  <si>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</si>
  <si>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</si>
  <si>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</si>
  <si>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</si>
  <si>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</si>
  <si>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</si>
  <si>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</si>
  <si>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</si>
  <si>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</si>
  <si>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</si>
  <si>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</si>
  <si>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</si>
  <si>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</si>
  <si>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</si>
  <si>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</si>
  <si>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</si>
  <si>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</si>
  <si>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</si>
  <si>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</si>
  <si>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</si>
  <si>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</si>
  <si>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</si>
  <si>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</si>
  <si>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</si>
  <si>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</si>
  <si>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</si>
  <si>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</si>
  <si>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</si>
  <si>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</si>
  <si>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</si>
  <si>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</si>
  <si>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</si>
  <si>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</si>
  <si>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</si>
  <si>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</si>
  <si>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</si>
  <si>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</si>
  <si>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</si>
  <si>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</si>
  <si>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</si>
  <si>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</si>
  <si>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</si>
  <si>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</si>
  <si>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</si>
  <si>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</si>
  <si>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</si>
  <si>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</si>
  <si>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</si>
  <si>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</si>
  <si>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</si>
  <si>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</si>
  <si>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</si>
  <si>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</si>
  <si>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</si>
  <si>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</si>
  <si>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</si>
  <si>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</si>
  <si>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</si>
  <si>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</si>
  <si>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</si>
  <si>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</si>
  <si>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</si>
  <si>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</si>
  <si>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</si>
  <si>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</si>
  <si>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</si>
  <si>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</si>
  <si>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</si>
  <si>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</si>
  <si>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</si>
  <si>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</si>
  <si>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</si>
  <si>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</si>
  <si>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</si>
  <si>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</si>
  <si>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</si>
  <si>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</si>
  <si>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</si>
  <si>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</si>
  <si>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</si>
  <si>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</si>
  <si>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</si>
  <si>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</si>
  <si>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</si>
  <si>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</si>
  <si>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</si>
  <si>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</si>
  <si>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</si>
  <si>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</si>
  <si>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</si>
  <si>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</si>
  <si>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</si>
  <si>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</si>
  <si>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</si>
  <si>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</si>
  <si>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</si>
  <si>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</si>
  <si>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</si>
  <si>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</si>
  <si>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</si>
  <si>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</si>
  <si>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</si>
  <si>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</si>
  <si>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</si>
  <si>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</si>
  <si>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</si>
  <si>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</si>
  <si>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</si>
  <si>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</si>
  <si>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</si>
  <si>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</si>
  <si>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</si>
  <si>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</si>
  <si>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</si>
  <si>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</si>
  <si>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</si>
  <si>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</si>
  <si>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</si>
  <si>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</si>
  <si>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</si>
  <si>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</si>
  <si>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</si>
  <si>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</si>
  <si>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</si>
  <si>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</si>
  <si>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</si>
  <si>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</si>
  <si>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</si>
  <si>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</si>
  <si>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</si>
  <si>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</si>
  <si>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</si>
  <si>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</si>
  <si>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</si>
  <si>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</si>
  <si>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</si>
  <si>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</si>
  <si>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</si>
  <si>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</si>
  <si>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</si>
  <si>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</si>
  <si>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</si>
  <si>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</si>
  <si>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</si>
  <si>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</si>
  <si>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</si>
  <si>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</si>
  <si>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</si>
  <si>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</si>
  <si>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</si>
  <si>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</si>
  <si>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</si>
  <si>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</si>
  <si>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</si>
  <si>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</si>
  <si>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</si>
  <si>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</si>
  <si>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</si>
  <si>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</si>
  <si>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</si>
  <si>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</si>
  <si>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</si>
  <si>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</si>
  <si>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</si>
  <si>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</si>
  <si>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</si>
  <si>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</si>
  <si>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</si>
  <si>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</si>
  <si>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</si>
  <si>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</si>
  <si>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</si>
  <si>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</si>
  <si>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</si>
  <si>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</si>
  <si>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</si>
  <si>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</si>
  <si>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</si>
  <si>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</si>
  <si>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</si>
  <si>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</si>
  <si>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</si>
  <si>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</si>
  <si>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</si>
  <si>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</si>
  <si>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</si>
  <si>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</si>
  <si>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</si>
  <si>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</si>
  <si>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</si>
  <si>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</si>
  <si>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</si>
  <si>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</si>
  <si>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</si>
  <si>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</si>
  <si>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</si>
  <si>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</si>
  <si>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</si>
  <si>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</si>
  <si>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</si>
  <si>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</si>
  <si>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</si>
  <si>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</si>
  <si>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</si>
  <si>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</si>
  <si>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</si>
  <si>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</si>
  <si>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</si>
  <si>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</si>
  <si>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</si>
  <si>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</si>
  <si>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</si>
  <si>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</si>
  <si>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</si>
  <si>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</si>
  <si>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</si>
  <si>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</si>
  <si>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</si>
  <si>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</si>
  <si>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</si>
  <si>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</si>
  <si>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</si>
  <si>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</si>
  <si>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</si>
  <si>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</si>
  <si>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</si>
  <si>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</si>
  <si>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</si>
  <si>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</si>
  <si>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</si>
  <si>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</si>
  <si>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</si>
  <si>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</si>
  <si>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</si>
  <si>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</si>
  <si>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</si>
  <si>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</si>
  <si>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</si>
  <si>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</si>
  <si>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</si>
  <si>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</si>
  <si>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</si>
  <si>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</si>
  <si>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</si>
  <si>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</si>
  <si>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</si>
  <si>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</si>
  <si>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</si>
  <si>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</si>
  <si>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</si>
  <si>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</si>
  <si>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</si>
  <si>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</si>
  <si>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</si>
  <si>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</si>
  <si>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</si>
  <si>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</si>
  <si>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</si>
  <si>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</si>
  <si>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</si>
  <si>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</si>
  <si>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</si>
  <si>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</si>
  <si>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</si>
  <si>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</si>
  <si>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</si>
  <si>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</si>
  <si>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</si>
  <si>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</si>
  <si>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</si>
  <si>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</si>
  <si>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</si>
  <si>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</si>
  <si>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</si>
  <si>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</si>
  <si>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</si>
  <si>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</si>
  <si>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</si>
  <si>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</si>
  <si>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</si>
  <si>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</si>
  <si>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</si>
  <si>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</si>
  <si>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</si>
  <si>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</si>
  <si>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</si>
  <si>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</si>
  <si>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</si>
  <si>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</si>
  <si>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</si>
  <si>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</si>
  <si>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</si>
  <si>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</si>
  <si>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</si>
  <si>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</si>
  <si>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</si>
  <si>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</si>
  <si>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</si>
  <si>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</si>
  <si>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</si>
  <si>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</si>
  <si>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</si>
  <si>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</si>
  <si>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</si>
  <si>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</si>
  <si>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</si>
  <si>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</si>
  <si>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</si>
  <si>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</si>
  <si>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</si>
  <si>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</si>
  <si>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</si>
  <si>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</si>
  <si>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</si>
  <si>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</si>
  <si>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</si>
  <si>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</si>
  <si>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</si>
  <si>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</si>
  <si>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</si>
  <si>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</si>
  <si>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</si>
  <si>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</si>
  <si>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</si>
  <si>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</si>
  <si>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</si>
  <si>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</si>
  <si>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</si>
  <si>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</si>
  <si>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</si>
  <si>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</si>
  <si>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</si>
  <si>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</si>
  <si>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</si>
  <si>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</si>
  <si>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</si>
  <si>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</si>
  <si>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</si>
  <si>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</si>
  <si>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</si>
  <si>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</si>
  <si>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</si>
  <si>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</si>
  <si>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</si>
  <si>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</si>
  <si>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</si>
  <si>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</si>
  <si>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</si>
  <si>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</si>
  <si>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</si>
  <si>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</si>
  <si>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</si>
  <si>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</si>
  <si>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</si>
  <si>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</si>
  <si>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</si>
  <si>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</si>
  <si>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</si>
  <si>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</si>
  <si>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</si>
  <si>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</si>
  <si>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</si>
  <si>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</si>
  <si>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</si>
  <si>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</si>
  <si>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</si>
  <si>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</si>
  <si>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</si>
  <si>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</si>
  <si>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</si>
  <si>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</si>
  <si>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</si>
  <si>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</si>
  <si>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</si>
  <si>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</si>
  <si>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</si>
  <si>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</si>
  <si>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</si>
  <si>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</si>
  <si>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</si>
  <si>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</si>
  <si>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</si>
  <si>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</si>
  <si>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</si>
  <si>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</si>
  <si>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</si>
  <si>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</si>
  <si>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</si>
  <si>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</si>
  <si>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</si>
  <si>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</si>
  <si>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</si>
  <si>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</si>
  <si>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</si>
  <si>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</si>
  <si>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</si>
  <si>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</si>
  <si>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</si>
  <si>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</si>
  <si>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</si>
  <si>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</si>
  <si>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</si>
  <si>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</si>
  <si>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</si>
  <si>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</si>
  <si>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</si>
  <si>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</si>
  <si>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</si>
  <si>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</si>
  <si>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</si>
  <si>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</si>
  <si>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</si>
  <si>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</si>
  <si>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</si>
  <si>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</si>
  <si>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</si>
  <si>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</si>
  <si>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</si>
  <si>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</si>
  <si>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</si>
  <si>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</si>
  <si>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</si>
  <si>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</si>
  <si>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</si>
  <si>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</si>
  <si>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</si>
  <si>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</si>
  <si>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</si>
  <si>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</si>
  <si>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</si>
  <si>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</si>
  <si>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</si>
  <si>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</si>
  <si>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</si>
  <si>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</si>
  <si>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</si>
  <si>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</si>
  <si>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</si>
  <si>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</si>
  <si>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</si>
  <si>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</si>
  <si>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</si>
  <si>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</si>
  <si>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</si>
  <si>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</si>
  <si>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</si>
  <si>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</si>
  <si>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</si>
  <si>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</si>
  <si>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</si>
  <si>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</si>
  <si>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</si>
  <si>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</si>
  <si>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</si>
  <si>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</si>
  <si>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</si>
  <si>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</si>
  <si>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</si>
  <si>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</si>
  <si>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</si>
  <si>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</si>
  <si>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</si>
  <si>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</si>
  <si>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</si>
  <si>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</si>
  <si>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</si>
  <si>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</si>
  <si>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</si>
  <si>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</si>
  <si>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</si>
  <si>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</si>
  <si>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</si>
  <si>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</si>
  <si>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</si>
  <si>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</si>
  <si>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</si>
  <si>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</si>
  <si>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</si>
  <si>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</si>
  <si>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</si>
  <si>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</si>
  <si>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</si>
  <si>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</si>
  <si>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</si>
  <si>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</si>
  <si>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</si>
  <si>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</si>
  <si>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</si>
  <si>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</si>
  <si>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</si>
  <si>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</si>
  <si>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</si>
  <si>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</si>
  <si>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</si>
  <si>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</si>
  <si>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</si>
  <si>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</si>
  <si>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</si>
  <si>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</si>
  <si>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</si>
  <si>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</si>
  <si>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</si>
  <si>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</si>
  <si>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</si>
  <si>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</si>
  <si>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</si>
  <si>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</si>
  <si>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</si>
  <si>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</si>
  <si>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</si>
  <si>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</si>
  <si>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</si>
  <si>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</si>
  <si>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</si>
  <si>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</si>
  <si>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</si>
  <si>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</si>
  <si>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</si>
  <si>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</si>
  <si>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</si>
  <si>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</si>
  <si>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</si>
  <si>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</si>
  <si>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</si>
  <si>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</si>
  <si>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</si>
  <si>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</si>
  <si>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</si>
  <si>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</si>
  <si>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</si>
  <si>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</si>
  <si>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</si>
  <si>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</si>
  <si>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</si>
  <si>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</si>
  <si>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</si>
  <si>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</si>
  <si>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</si>
  <si>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</si>
  <si>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</si>
  <si>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</si>
  <si>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</si>
  <si>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</si>
  <si>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</si>
  <si>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</si>
  <si>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</si>
  <si>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</si>
  <si>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</si>
  <si>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</si>
  <si>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</si>
  <si>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</si>
  <si>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</si>
  <si>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</si>
  <si>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</si>
  <si>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</si>
  <si>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</si>
  <si>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</si>
  <si>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</si>
  <si>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</si>
  <si>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</si>
  <si>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</si>
  <si>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</si>
  <si>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</si>
  <si>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</si>
  <si>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</si>
  <si>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</si>
  <si>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</si>
  <si>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</si>
  <si>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</si>
  <si>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</si>
  <si>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</si>
  <si>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</si>
  <si>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</si>
  <si>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</si>
  <si>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</si>
  <si>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</si>
  <si>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</si>
  <si>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</si>
  <si>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</si>
  <si>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</si>
  <si>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</si>
  <si>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</si>
  <si>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</si>
  <si>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</si>
  <si>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</si>
  <si>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</si>
  <si>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</si>
  <si>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</si>
  <si>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</si>
  <si>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</si>
  <si>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</si>
  <si>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</si>
  <si>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</si>
  <si>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</si>
  <si>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</si>
  <si>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</si>
  <si>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</si>
  <si>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</si>
  <si>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</si>
  <si>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</si>
  <si>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</si>
  <si>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</si>
  <si>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</si>
  <si>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</si>
  <si>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</si>
  <si>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</si>
  <si>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</si>
  <si>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</si>
  <si>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</si>
  <si>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</si>
  <si>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</si>
  <si>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</si>
  <si>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</si>
  <si>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</si>
  <si>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</si>
  <si>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</si>
  <si>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</si>
  <si>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</si>
  <si>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</si>
  <si>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</si>
  <si>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</si>
  <si>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</si>
  <si>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</si>
  <si>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</si>
  <si>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</si>
  <si>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</si>
  <si>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</si>
  <si>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</si>
  <si>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</si>
  <si>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</si>
  <si>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</si>
  <si>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</si>
  <si>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</si>
  <si>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</si>
  <si>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</si>
  <si>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</si>
  <si>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</si>
  <si>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</si>
  <si>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</si>
  <si>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</si>
  <si>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</si>
  <si>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</si>
  <si>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</si>
  <si>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</si>
  <si>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</si>
  <si>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</si>
  <si>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</si>
  <si>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</si>
  <si>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</si>
  <si>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</si>
  <si>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</si>
  <si>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</si>
  <si>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</si>
  <si>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</si>
  <si>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</si>
  <si>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</si>
  <si>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</si>
  <si>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</si>
  <si>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</si>
  <si>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</si>
  <si>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</si>
  <si>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</si>
  <si>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</si>
  <si>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</si>
  <si>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</si>
  <si>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</si>
  <si>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</si>
  <si>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</si>
  <si>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</si>
  <si>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</si>
  <si>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</si>
  <si>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</si>
  <si>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</si>
  <si>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</si>
  <si>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</si>
  <si>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</si>
  <si>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</si>
  <si>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</si>
  <si>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</si>
  <si>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</si>
  <si>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</si>
  <si>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</si>
  <si>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</si>
  <si>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</si>
  <si>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</si>
  <si>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</si>
  <si>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</si>
  <si>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</si>
  <si>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</si>
  <si>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</si>
  <si>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</si>
  <si>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</si>
  <si>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</si>
  <si>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</si>
  <si>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</si>
  <si>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</si>
  <si>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</si>
  <si>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</si>
  <si>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</si>
  <si>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</si>
  <si>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</si>
  <si>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</si>
  <si>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</si>
  <si>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</si>
  <si>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</si>
  <si>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</si>
  <si>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</si>
  <si>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</si>
  <si>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</si>
  <si>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</si>
  <si>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</si>
  <si>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</si>
  <si>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</si>
  <si>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</si>
  <si>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</si>
  <si>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</si>
  <si>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</si>
  <si>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</si>
  <si>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</si>
  <si>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</si>
  <si>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</si>
  <si>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</si>
  <si>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</si>
  <si>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</si>
  <si>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</si>
  <si>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</si>
  <si>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</si>
  <si>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</si>
  <si>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</si>
  <si>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</si>
  <si>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</si>
  <si>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</si>
  <si>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</si>
  <si>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</si>
  <si>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</si>
  <si>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</si>
  <si>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</si>
  <si>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</si>
  <si>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</si>
  <si>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</si>
  <si>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</si>
  <si>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</si>
  <si>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</si>
  <si>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</si>
  <si>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</si>
  <si>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</si>
  <si>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</si>
  <si>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</si>
  <si>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</si>
  <si>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</si>
  <si>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</si>
  <si>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</si>
  <si>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</si>
  <si>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</si>
  <si>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</si>
  <si>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</si>
  <si>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</si>
  <si>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</si>
  <si>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</si>
  <si>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</si>
  <si>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</si>
  <si>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</si>
  <si>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</si>
  <si>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</si>
  <si>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</si>
  <si>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</si>
  <si>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</si>
  <si>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</si>
  <si>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</si>
  <si>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</si>
  <si>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</si>
  <si>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</si>
  <si>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</si>
  <si>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</si>
  <si>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</si>
  <si>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</si>
  <si>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</si>
  <si>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</si>
  <si>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</si>
  <si>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</si>
  <si>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</si>
  <si>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</si>
  <si>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</si>
  <si>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</si>
  <si>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</si>
  <si>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</si>
  <si>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</si>
  <si>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</si>
  <si>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</si>
  <si>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</si>
  <si>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</si>
  <si>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</si>
  <si>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</si>
  <si>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</si>
  <si>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</si>
  <si>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</si>
  <si>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</si>
  <si>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</si>
  <si>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</si>
  <si>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</si>
  <si>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</si>
  <si>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</si>
  <si>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</si>
  <si>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</si>
  <si>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</si>
  <si>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</si>
  <si>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</si>
  <si>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</si>
  <si>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</si>
  <si>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</si>
  <si>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</si>
  <si>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</si>
  <si>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</si>
  <si>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</si>
  <si>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</si>
  <si>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</si>
  <si>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</si>
  <si>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</si>
  <si>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</si>
  <si>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</si>
  <si>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</si>
  <si>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</si>
  <si>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</si>
  <si>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</si>
  <si>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</si>
  <si>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</si>
  <si>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</si>
  <si>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</si>
  <si>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</si>
  <si>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</si>
  <si>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</si>
  <si>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</si>
  <si>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</si>
  <si>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</si>
  <si>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</si>
  <si>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</si>
  <si>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</si>
  <si>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</si>
  <si>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</si>
  <si>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</si>
  <si>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</si>
  <si>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</si>
  <si>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</si>
  <si>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</si>
  <si>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</si>
  <si>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</si>
  <si>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</si>
  <si>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</si>
  <si>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</si>
  <si>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</si>
  <si>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</si>
  <si>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</si>
  <si>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</si>
  <si>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</si>
  <si>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</si>
  <si>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</si>
  <si>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</si>
  <si>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</si>
  <si>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</si>
  <si>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</si>
  <si>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</si>
  <si>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</si>
  <si>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</si>
  <si>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</si>
  <si>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</si>
  <si>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</si>
  <si>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</si>
  <si>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</si>
  <si>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</si>
  <si>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</si>
  <si>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</si>
  <si>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</si>
  <si>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</si>
  <si>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</si>
  <si>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</si>
  <si>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</si>
  <si>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</si>
  <si>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</si>
  <si>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</si>
  <si>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</si>
  <si>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</si>
  <si>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</si>
  <si>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</si>
  <si>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</si>
  <si>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</si>
  <si>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</si>
  <si>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</si>
  <si>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</si>
  <si>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</si>
  <si>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</si>
  <si>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</si>
  <si>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</si>
  <si>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</si>
  <si>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</si>
  <si>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</si>
  <si>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</si>
  <si>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</si>
  <si>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</si>
  <si>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</si>
  <si>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</si>
  <si>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</si>
  <si>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</si>
  <si>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</si>
  <si>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</si>
  <si>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</si>
  <si>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</si>
  <si>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</si>
  <si>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</si>
  <si>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</si>
  <si>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</si>
  <si>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</si>
  <si>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</si>
  <si>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</si>
  <si>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</si>
  <si>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</si>
  <si>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</si>
  <si>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</si>
  <si>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</si>
  <si>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</si>
  <si>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</si>
  <si>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</si>
  <si>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</si>
  <si>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</si>
  <si>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</si>
  <si>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</si>
  <si>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</si>
  <si>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</si>
  <si>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</si>
  <si>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</si>
  <si>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</si>
  <si>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</si>
  <si>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</si>
  <si>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</si>
  <si>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</si>
  <si>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</si>
  <si>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</si>
  <si>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</si>
  <si>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</si>
  <si>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</si>
  <si>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</si>
  <si>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</si>
  <si>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</si>
  <si>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</si>
  <si>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</si>
  <si>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</si>
  <si>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</si>
  <si>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</si>
  <si>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</si>
  <si>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</si>
  <si>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</si>
  <si>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</si>
  <si>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</si>
  <si>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</si>
  <si>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</si>
  <si>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</si>
  <si>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</si>
  <si>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</si>
  <si>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</si>
  <si>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</si>
  <si>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</si>
  <si>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</si>
  <si>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</si>
  <si>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</si>
  <si>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</si>
  <si>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</si>
  <si>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</si>
  <si>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</si>
  <si>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</si>
  <si>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</si>
  <si>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</si>
  <si>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</si>
  <si>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</si>
  <si>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</si>
  <si>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</si>
  <si>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</si>
  <si>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</si>
  <si>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</si>
  <si>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</si>
  <si>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</si>
  <si>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</si>
  <si>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</si>
  <si>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</si>
  <si>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</si>
  <si>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</si>
  <si>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</si>
  <si>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</si>
  <si>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</si>
  <si>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</si>
  <si>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</si>
  <si>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</si>
  <si>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</si>
  <si>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</si>
  <si>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</si>
  <si>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</si>
  <si>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</si>
  <si>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</si>
  <si>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</si>
  <si>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</si>
  <si>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</si>
  <si>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</si>
  <si>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</si>
  <si>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</si>
  <si>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</si>
  <si>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</si>
  <si>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</si>
  <si>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</si>
  <si>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</si>
  <si>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</si>
  <si>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</si>
  <si>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</si>
  <si>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</si>
  <si>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</si>
  <si>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</si>
  <si>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</si>
  <si>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</si>
  <si>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</si>
  <si>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</si>
  <si>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</si>
  <si>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</si>
  <si>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</si>
  <si>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</si>
  <si>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</si>
  <si>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</si>
  <si>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</si>
  <si>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</si>
  <si>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</si>
  <si>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</si>
  <si>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</si>
  <si>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</si>
  <si>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</si>
  <si>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</si>
  <si>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</si>
  <si>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</si>
  <si>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</si>
  <si>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</si>
  <si>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</si>
  <si>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</si>
  <si>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</si>
  <si>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</si>
  <si>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</si>
  <si>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</si>
  <si>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</si>
  <si>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</si>
  <si>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</si>
  <si>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</si>
  <si>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</si>
  <si>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</si>
  <si>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</si>
  <si>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</si>
  <si>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</si>
  <si>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</si>
  <si>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</si>
  <si>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</si>
  <si>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</si>
  <si>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</si>
  <si>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</si>
  <si>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</si>
  <si>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</si>
  <si>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</si>
  <si>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</si>
  <si>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</si>
  <si>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</si>
  <si>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</si>
  <si>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</si>
  <si>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</si>
  <si>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</si>
  <si>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</si>
  <si>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</si>
  <si>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</si>
  <si>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</si>
  <si>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</si>
  <si>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</si>
  <si>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</si>
  <si>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</si>
  <si>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</si>
  <si>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</si>
  <si>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</si>
  <si>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</si>
  <si>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</si>
  <si>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</si>
  <si>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</si>
  <si>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</si>
  <si>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</si>
  <si>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</si>
  <si>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</si>
  <si>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</si>
  <si>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</si>
  <si>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</si>
  <si>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</si>
  <si>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</si>
  <si>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</si>
  <si>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</si>
  <si>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</si>
  <si>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</si>
  <si>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</si>
  <si>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</si>
  <si>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</si>
  <si>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</si>
  <si>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</si>
  <si>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</si>
  <si>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</si>
  <si>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</si>
  <si>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</si>
  <si>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</si>
  <si>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</si>
  <si>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</si>
  <si>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</si>
  <si>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</si>
  <si>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</si>
  <si>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</si>
  <si>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</si>
  <si>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</si>
  <si>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</si>
  <si>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</si>
  <si>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</si>
  <si>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</si>
  <si>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</si>
  <si>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</si>
  <si>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</si>
  <si>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</si>
  <si>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</si>
  <si>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</si>
  <si>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</si>
  <si>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</si>
  <si>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</si>
  <si>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</si>
  <si>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</si>
  <si>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</si>
  <si>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</si>
  <si>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</si>
  <si>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</si>
  <si>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</si>
  <si>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</si>
  <si>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</si>
  <si>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</si>
  <si>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</si>
  <si>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</si>
  <si>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</si>
  <si>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</si>
  <si>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</si>
  <si>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</si>
  <si>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</si>
  <si>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</si>
  <si>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</si>
  <si>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</si>
  <si>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</si>
  <si>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</si>
  <si>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</si>
  <si>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</si>
  <si>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</si>
  <si>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</si>
  <si>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</si>
  <si>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</si>
  <si>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</si>
  <si>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</si>
  <si>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</si>
  <si>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</si>
  <si>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</si>
  <si>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</si>
  <si>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</si>
  <si>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</si>
  <si>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</si>
  <si>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</si>
  <si>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</si>
  <si>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</si>
  <si>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</si>
  <si>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</si>
  <si>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</si>
  <si>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</si>
  <si>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</si>
  <si>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</si>
  <si>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</si>
  <si>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</si>
  <si>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</si>
  <si>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</si>
  <si>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</si>
  <si>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</si>
  <si>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</si>
  <si>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</si>
  <si>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</si>
  <si>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</si>
  <si>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</si>
  <si>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</si>
  <si>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</si>
  <si>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</si>
  <si>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</si>
  <si>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</si>
  <si>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</si>
  <si>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</si>
  <si>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</si>
  <si>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</si>
  <si>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</si>
  <si>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</si>
  <si>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</si>
  <si>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</si>
  <si>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</si>
  <si>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</si>
  <si>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</si>
  <si>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</si>
  <si>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</si>
  <si>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</si>
  <si>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</si>
  <si>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</si>
  <si>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</si>
  <si>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</si>
  <si>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</si>
  <si>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</si>
  <si>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</si>
  <si>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</si>
  <si>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</si>
  <si>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</si>
  <si>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</si>
  <si>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</si>
  <si>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</si>
  <si>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</si>
  <si>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</si>
  <si>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</si>
  <si>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</si>
  <si>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</si>
  <si>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</si>
  <si>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</si>
  <si>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</si>
  <si>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</si>
  <si>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</si>
  <si>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</si>
  <si>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</si>
  <si>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</si>
  <si>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</si>
  <si>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</si>
  <si>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</si>
  <si>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</si>
  <si>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</si>
  <si>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</si>
  <si>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</si>
  <si>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</si>
  <si>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</si>
  <si>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</si>
  <si>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</si>
  <si>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</si>
  <si>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</si>
  <si>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</si>
  <si>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</si>
  <si>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</si>
  <si>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</si>
  <si>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</si>
  <si>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</si>
  <si>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</si>
  <si>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</si>
  <si>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</si>
  <si>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</si>
  <si>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</si>
  <si>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</si>
  <si>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</si>
  <si>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</si>
  <si>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</si>
  <si>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</si>
  <si>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</si>
  <si>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</si>
  <si>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</si>
  <si>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</si>
  <si>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</si>
  <si>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</si>
  <si>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</si>
  <si>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</si>
  <si>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</si>
  <si>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</si>
  <si>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</si>
  <si>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</si>
  <si>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</si>
  <si>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</si>
  <si>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</si>
  <si>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</si>
  <si>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</si>
  <si>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</si>
  <si>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</si>
  <si>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</si>
  <si>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</si>
  <si>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</si>
  <si>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</si>
  <si>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</si>
  <si>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</si>
  <si>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</si>
  <si>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</si>
  <si>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</si>
  <si>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</si>
  <si>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</si>
  <si>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</si>
  <si>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</si>
  <si>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</si>
  <si>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</si>
  <si>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</si>
  <si>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</si>
  <si>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</si>
  <si>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</si>
  <si>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</si>
  <si>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</si>
  <si>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</si>
  <si>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</si>
  <si>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</si>
  <si>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</si>
  <si>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</si>
  <si>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</si>
  <si>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</si>
  <si>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</si>
  <si>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</si>
  <si>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</si>
  <si>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</si>
  <si>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</si>
  <si>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</si>
  <si>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</si>
  <si>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</si>
  <si>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</si>
  <si>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</si>
  <si>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</si>
  <si>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</si>
  <si>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</si>
  <si>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</si>
  <si>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</si>
  <si>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</si>
  <si>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</si>
  <si>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</si>
  <si>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</si>
  <si>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</si>
  <si>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</si>
  <si>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</si>
  <si>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</si>
  <si>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</si>
  <si>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</si>
  <si>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</si>
  <si>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</si>
  <si>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</si>
  <si>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</si>
  <si>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</si>
  <si>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</si>
  <si>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</si>
  <si>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</si>
  <si>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</si>
  <si>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</si>
  <si>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</si>
  <si>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</si>
  <si>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</si>
  <si>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</si>
  <si>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</si>
  <si>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</si>
  <si>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</si>
  <si>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</si>
  <si>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</si>
  <si>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</si>
  <si>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</si>
  <si>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</si>
  <si>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</si>
  <si>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</si>
  <si>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</si>
  <si>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</si>
  <si>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</si>
  <si>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</si>
  <si>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</si>
  <si>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</si>
  <si>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</si>
  <si>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</si>
  <si>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</si>
  <si>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</si>
  <si>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</si>
  <si>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</si>
  <si>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</si>
  <si>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</si>
  <si>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</si>
  <si>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</si>
  <si>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</si>
  <si>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</si>
  <si>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</si>
  <si>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</si>
  <si>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</si>
  <si>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</si>
  <si>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</si>
  <si>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</si>
  <si>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</si>
  <si>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</si>
  <si>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</si>
  <si>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</si>
  <si>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</si>
  <si>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</si>
  <si>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</si>
  <si>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</si>
  <si>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</si>
  <si>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</si>
  <si>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</si>
  <si>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</si>
  <si>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</si>
  <si>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</si>
  <si>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</si>
  <si>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</si>
  <si>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</si>
  <si>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</si>
  <si>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</si>
  <si>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</si>
  <si>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</si>
  <si>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</si>
  <si>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</si>
  <si>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</si>
  <si>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</si>
  <si>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</si>
  <si>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</si>
  <si>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</si>
  <si>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</si>
  <si>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</si>
  <si>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</si>
  <si>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</si>
  <si>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</si>
  <si>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</si>
  <si>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</si>
  <si>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</si>
  <si>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</si>
  <si>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</si>
  <si>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</si>
  <si>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</si>
  <si>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</si>
  <si>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</si>
  <si>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</si>
  <si>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</si>
  <si>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</si>
  <si>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</si>
  <si>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</si>
  <si>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</si>
  <si>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</si>
  <si>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</si>
  <si>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</si>
  <si>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</si>
  <si>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</si>
  <si>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</si>
  <si>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</si>
  <si>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</si>
  <si>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</si>
  <si>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</si>
  <si>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</si>
  <si>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</si>
  <si>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</si>
  <si>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</si>
  <si>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</si>
  <si>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</si>
  <si>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</si>
  <si>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</si>
  <si>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</si>
  <si>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</si>
  <si>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</si>
  <si>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</si>
  <si>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</si>
  <si>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</si>
  <si>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</si>
  <si>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</si>
  <si>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</si>
  <si>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</si>
  <si>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</si>
  <si>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</si>
  <si>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</si>
  <si>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</si>
  <si>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</si>
  <si>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</si>
  <si>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</si>
  <si>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</si>
  <si>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</si>
  <si>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</si>
  <si>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</si>
  <si>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</si>
  <si>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</si>
  <si>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</si>
  <si>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</si>
  <si>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</si>
  <si>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</si>
  <si>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</si>
  <si>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</si>
  <si>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</si>
  <si>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</si>
  <si>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</si>
  <si>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</si>
  <si>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</si>
  <si>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</si>
  <si>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</si>
  <si>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</si>
  <si>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</si>
  <si>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</si>
  <si>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</si>
  <si>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</si>
  <si>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</si>
  <si>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</si>
  <si>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</si>
  <si>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</si>
  <si>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</si>
  <si>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</si>
  <si>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</si>
  <si>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</si>
  <si>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</si>
  <si>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</si>
  <si>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</si>
  <si>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</si>
  <si>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</si>
  <si>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</si>
  <si>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</si>
  <si>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</si>
  <si>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</si>
  <si>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</si>
  <si>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</si>
  <si>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</si>
  <si>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</si>
  <si>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</si>
  <si>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</si>
  <si>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</si>
  <si>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</si>
  <si>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</si>
  <si>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</si>
  <si>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</si>
  <si>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</si>
  <si>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</si>
  <si>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</si>
  <si>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</si>
  <si>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</si>
  <si>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</si>
  <si>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</si>
  <si>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</si>
  <si>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</si>
  <si>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</si>
  <si>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</si>
  <si>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</si>
  <si>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</si>
  <si>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</si>
  <si>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</si>
  <si>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</si>
  <si>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</si>
  <si>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</si>
  <si>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</si>
  <si>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</si>
  <si>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</si>
  <si>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</si>
  <si>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</si>
  <si>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</si>
  <si>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</si>
  <si>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</si>
  <si>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</si>
  <si>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</si>
  <si>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</si>
  <si>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</si>
  <si>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</si>
  <si>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</si>
  <si>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</si>
  <si>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</si>
  <si>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</si>
  <si>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</si>
  <si>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</si>
  <si>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</si>
  <si>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</si>
  <si>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</si>
  <si>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</si>
  <si>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</si>
  <si>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</si>
  <si>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</si>
  <si>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</si>
  <si>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</si>
  <si>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</si>
  <si>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</si>
  <si>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</si>
  <si>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</si>
  <si>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</si>
  <si>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</si>
  <si>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</si>
  <si>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</si>
  <si>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</si>
  <si>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</si>
  <si>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</si>
  <si>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</si>
  <si>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</si>
  <si>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</si>
  <si>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</si>
  <si>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</si>
  <si>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</si>
  <si>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</si>
  <si>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</si>
  <si>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</si>
  <si>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</si>
  <si>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</si>
  <si>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</si>
  <si>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</si>
  <si>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</si>
  <si>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</si>
  <si>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</si>
  <si>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</si>
  <si>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</si>
  <si>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</si>
  <si>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</si>
  <si>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</si>
  <si>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</si>
  <si>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</si>
  <si>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</si>
  <si>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</si>
  <si>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</si>
  <si>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</si>
  <si>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</si>
  <si>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</si>
  <si>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</si>
  <si>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</si>
  <si>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</si>
  <si>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</si>
  <si>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</si>
  <si>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</si>
  <si>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</si>
  <si>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</si>
  <si>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</si>
  <si>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</si>
  <si>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</si>
  <si>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</si>
  <si>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</si>
  <si>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</si>
  <si>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</si>
  <si>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</si>
  <si>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</si>
  <si>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</si>
  <si>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</si>
  <si>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</si>
  <si>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</si>
  <si>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</si>
  <si>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</si>
  <si>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</si>
  <si>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</si>
  <si>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</si>
  <si>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</si>
  <si>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</si>
  <si>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</si>
  <si>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</si>
  <si>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</si>
  <si>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</si>
  <si>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</si>
  <si>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</si>
  <si>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</si>
  <si>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</si>
  <si>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</si>
  <si>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</si>
  <si>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</si>
  <si>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</si>
  <si>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</si>
  <si>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</si>
  <si>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</si>
  <si>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</si>
  <si>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</si>
  <si>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</si>
  <si>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</si>
  <si>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</si>
  <si>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</si>
  <si>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</si>
  <si>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</si>
  <si>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</si>
  <si>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</si>
  <si>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</si>
  <si>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</si>
  <si>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</si>
  <si>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</si>
  <si>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</si>
  <si>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</si>
  <si>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</si>
  <si>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</si>
  <si>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</si>
  <si>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</si>
  <si>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</si>
  <si>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</si>
  <si>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</si>
  <si>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</si>
  <si>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</si>
  <si>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</si>
  <si>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</si>
  <si>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</si>
  <si>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</si>
  <si>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</si>
  <si>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</si>
  <si>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</si>
  <si>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</si>
  <si>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</si>
  <si>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</si>
  <si>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</si>
  <si>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</si>
  <si>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</si>
  <si>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</si>
  <si>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</si>
  <si>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</si>
  <si>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</si>
  <si>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</si>
  <si>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</si>
  <si>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</si>
  <si>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</si>
  <si>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</si>
  <si>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</si>
  <si>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</si>
  <si>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</si>
  <si>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</si>
  <si>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</si>
  <si>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</si>
  <si>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</si>
  <si>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</si>
  <si>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</si>
  <si>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</si>
  <si>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</si>
  <si>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</si>
  <si>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</si>
  <si>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</si>
  <si>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</si>
  <si>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</si>
  <si>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</si>
  <si>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</si>
  <si>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</si>
  <si>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</si>
  <si>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</si>
  <si>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</si>
  <si>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</si>
  <si>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</si>
  <si>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</si>
  <si>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</si>
  <si>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</si>
  <si>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</si>
  <si>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</si>
  <si>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</si>
  <si>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</si>
  <si>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</si>
  <si>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</si>
  <si>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</si>
  <si>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</si>
  <si>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</si>
  <si>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</si>
  <si>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</si>
  <si>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</si>
  <si>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</si>
  <si>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</si>
  <si>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</si>
  <si>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</si>
  <si>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</si>
  <si>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</si>
  <si>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</si>
  <si>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</si>
  <si>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</si>
  <si>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</si>
  <si>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</si>
  <si>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</si>
  <si>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</si>
  <si>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</si>
  <si>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</si>
  <si>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</si>
  <si>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</si>
  <si>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</si>
  <si>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</si>
  <si>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</si>
  <si>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</si>
  <si>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</si>
  <si>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</si>
  <si>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</si>
  <si>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</si>
  <si>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</si>
  <si>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</si>
  <si>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</si>
  <si>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</si>
  <si>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</si>
  <si>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</si>
  <si>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</si>
  <si>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</si>
  <si>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</si>
  <si>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</si>
  <si>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</si>
  <si>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</si>
  <si>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</si>
  <si>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</si>
  <si>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</si>
  <si>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</si>
  <si>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</si>
  <si>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</si>
  <si>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</si>
  <si>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</si>
  <si>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</si>
  <si>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</si>
  <si>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</si>
  <si>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</si>
  <si>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</si>
  <si>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</si>
  <si>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</si>
  <si>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</si>
  <si>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</si>
  <si>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</si>
  <si>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</si>
  <si>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</si>
  <si>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</si>
  <si>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</si>
  <si>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</si>
  <si>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</si>
  <si>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</si>
  <si>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</si>
  <si>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</si>
  <si>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</si>
  <si>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</si>
  <si>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</si>
  <si>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</si>
  <si>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</si>
  <si>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</si>
  <si>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</si>
  <si>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</si>
  <si>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</si>
  <si>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</si>
  <si>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</si>
  <si>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</si>
  <si>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</si>
  <si>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</si>
  <si>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</si>
  <si>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</si>
  <si>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</si>
  <si>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</si>
  <si>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</si>
  <si>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</si>
  <si>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</si>
  <si>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</si>
  <si>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</si>
  <si>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</si>
  <si>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</si>
  <si>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</si>
  <si>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</si>
  <si>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</si>
  <si>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</si>
  <si>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</si>
  <si>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</si>
  <si>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</si>
  <si>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</si>
  <si>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</si>
  <si>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</si>
  <si>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</si>
  <si>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</si>
  <si>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</si>
  <si>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</si>
  <si>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</si>
  <si>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</si>
  <si>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</si>
  <si>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</si>
  <si>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</si>
  <si>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</si>
  <si>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</si>
  <si>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</si>
  <si>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</si>
  <si>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</si>
  <si>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</si>
  <si>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</si>
  <si>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</si>
  <si>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</si>
  <si>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</si>
  <si>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</si>
  <si>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</si>
  <si>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</si>
  <si>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</si>
  <si>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</si>
  <si>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</si>
  <si>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</si>
  <si>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</si>
  <si>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</si>
  <si>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</si>
  <si>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</si>
  <si>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</si>
  <si>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</si>
  <si>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</si>
  <si>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</si>
  <si>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</si>
  <si>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</si>
  <si>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</si>
  <si>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</si>
  <si>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</si>
  <si>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</si>
  <si>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</si>
  <si>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</si>
  <si>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</si>
  <si>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</si>
  <si>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</si>
  <si>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</si>
  <si>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</si>
  <si>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</si>
  <si>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</si>
  <si>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</si>
  <si>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</si>
  <si>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</si>
  <si>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</si>
  <si>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</si>
  <si>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</si>
  <si>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</si>
  <si>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</si>
  <si>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</si>
  <si>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</si>
  <si>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</si>
  <si>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</si>
  <si>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</si>
  <si>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</si>
  <si>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</si>
  <si>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</si>
  <si>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</si>
  <si>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</si>
  <si>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</si>
  <si>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</si>
  <si>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</si>
  <si>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</si>
  <si>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</si>
  <si>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</si>
  <si>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</si>
  <si>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</si>
  <si>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</si>
  <si>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</si>
  <si>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</si>
  <si>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</si>
  <si>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</si>
  <si>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</si>
  <si>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</si>
  <si>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</si>
  <si>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</si>
  <si>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</si>
  <si>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</si>
  <si>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</si>
  <si>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</si>
  <si>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</si>
  <si>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</si>
  <si>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</si>
  <si>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</si>
  <si>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</si>
  <si>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</si>
  <si>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</si>
  <si>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</si>
  <si>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</si>
  <si>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</si>
  <si>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</si>
  <si>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</si>
  <si>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</si>
  <si>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</si>
  <si>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</si>
  <si>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</si>
  <si>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</si>
  <si>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</si>
  <si>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</si>
  <si>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</si>
  <si>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</si>
  <si>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</si>
  <si>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</si>
  <si>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</si>
  <si>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</si>
  <si>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</si>
  <si>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</si>
  <si>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</si>
  <si>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</si>
  <si>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</si>
  <si>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</si>
  <si>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</si>
  <si>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</si>
  <si>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</si>
  <si>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</si>
  <si>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</si>
  <si>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</si>
  <si>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</si>
  <si>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</si>
  <si>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</si>
  <si>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</si>
  <si>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</si>
  <si>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</si>
  <si>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</si>
  <si>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</si>
  <si>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</si>
  <si>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</si>
  <si>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</si>
  <si>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</si>
  <si>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</si>
  <si>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</si>
  <si>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</si>
  <si>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</si>
  <si>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</si>
  <si>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</si>
  <si>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</si>
  <si>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</si>
  <si>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</si>
  <si>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</si>
  <si>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</si>
  <si>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</si>
  <si>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</si>
  <si>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</si>
  <si>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</si>
  <si>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</si>
  <si>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</si>
  <si>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</si>
  <si>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</si>
  <si>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</si>
  <si>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</si>
  <si>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</si>
  <si>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</si>
  <si>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</si>
  <si>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</si>
  <si>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</si>
  <si>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</si>
  <si>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</si>
  <si>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</si>
  <si>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</si>
  <si>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</si>
  <si>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</si>
  <si>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</si>
  <si>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</si>
  <si>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</si>
  <si>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</si>
  <si>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</si>
  <si>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</si>
  <si>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</si>
  <si>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</si>
  <si>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</si>
  <si>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</si>
  <si>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</si>
  <si>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</si>
  <si>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</si>
  <si>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</si>
  <si>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</si>
  <si>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</si>
  <si>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</si>
  <si>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</si>
  <si>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</si>
  <si>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</si>
  <si>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</si>
  <si>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</si>
  <si>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</si>
  <si>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</si>
  <si>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</si>
  <si>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</si>
  <si>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</si>
  <si>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</si>
  <si>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</si>
  <si>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</si>
  <si>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</si>
  <si>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</si>
  <si>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</si>
  <si>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</si>
  <si>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</si>
  <si>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</si>
  <si>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</si>
  <si>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</si>
  <si>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</si>
  <si>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</si>
  <si>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</si>
  <si>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</si>
  <si>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</si>
  <si>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</si>
  <si>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</si>
  <si>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</si>
  <si>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</si>
  <si>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</si>
  <si>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</si>
  <si>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</si>
  <si>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</si>
  <si>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</si>
  <si>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</si>
  <si>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</si>
  <si>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</si>
  <si>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</si>
  <si>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</si>
  <si>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</si>
  <si>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</si>
  <si>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</si>
  <si>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</si>
  <si>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</si>
  <si>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</si>
  <si>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</si>
  <si>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</si>
  <si>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</si>
  <si>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</si>
  <si>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</si>
  <si>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</si>
  <si>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</si>
  <si>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</si>
  <si>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</si>
  <si>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</si>
  <si>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</si>
  <si>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</si>
  <si>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</si>
  <si>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</si>
  <si>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</si>
  <si>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</si>
  <si>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</si>
  <si>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</si>
  <si>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</si>
  <si>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</si>
  <si>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</si>
  <si>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</si>
  <si>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</si>
  <si>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</si>
  <si>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</si>
  <si>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</si>
  <si>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</si>
  <si>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</si>
  <si>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</si>
  <si>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</si>
  <si>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</si>
  <si>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</si>
  <si>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</si>
  <si>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</si>
  <si>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</si>
  <si>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</si>
  <si>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</si>
  <si>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</si>
  <si>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</si>
  <si>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</si>
  <si>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</si>
  <si>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</si>
  <si>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</si>
  <si>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</si>
  <si>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</si>
  <si>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</si>
  <si>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</si>
  <si>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</si>
  <si>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</si>
  <si>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</si>
  <si>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</si>
  <si>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</si>
  <si>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</si>
  <si>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</si>
  <si>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</si>
  <si>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</si>
  <si>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</si>
  <si>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</si>
  <si>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</si>
  <si>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</si>
  <si>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</si>
  <si>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</si>
  <si>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</si>
  <si>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</si>
  <si>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</si>
  <si>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</si>
  <si>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</si>
  <si>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</si>
  <si>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</si>
  <si>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</si>
  <si>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</si>
  <si>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</si>
  <si>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</si>
  <si>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</si>
  <si>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</si>
  <si>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</si>
  <si>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</si>
  <si>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</si>
  <si>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</si>
  <si>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</si>
  <si>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</si>
  <si>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</si>
  <si>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</si>
  <si>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</si>
  <si>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</si>
  <si>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</si>
  <si>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</si>
  <si>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</si>
  <si>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</si>
  <si>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</si>
  <si>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</si>
  <si>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</si>
  <si>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</si>
  <si>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</si>
  <si>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</si>
  <si>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</si>
  <si>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</si>
  <si>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</si>
  <si>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</si>
  <si>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</si>
  <si>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</si>
  <si>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</si>
  <si>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</si>
  <si>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</si>
  <si>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</si>
  <si>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</si>
  <si>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</si>
  <si>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</si>
  <si>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</si>
  <si>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</si>
  <si>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</si>
  <si>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</si>
  <si>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</si>
  <si>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</si>
  <si>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</si>
  <si>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</si>
  <si>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</si>
  <si>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</si>
  <si>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</si>
  <si>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</si>
  <si>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</si>
  <si>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</si>
  <si>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</si>
  <si>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</si>
  <si>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</si>
  <si>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</si>
  <si>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</si>
  <si>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</si>
  <si>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</si>
  <si>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</si>
  <si>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</si>
  <si>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</si>
  <si>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</si>
  <si>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</si>
  <si>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</si>
  <si>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</si>
  <si>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</si>
  <si>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</si>
  <si>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</si>
  <si>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</si>
  <si>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</si>
  <si>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</si>
  <si>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</si>
  <si>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</si>
  <si>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</si>
  <si>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</si>
  <si>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</si>
  <si>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</si>
  <si>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</si>
  <si>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</si>
  <si>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</si>
  <si>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</si>
  <si>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</si>
  <si>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</si>
  <si>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</si>
  <si>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</si>
  <si>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</si>
  <si>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</si>
  <si>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</si>
  <si>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</si>
  <si>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</si>
  <si>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</si>
  <si>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</si>
  <si>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</si>
  <si>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</si>
  <si>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</si>
  <si>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</si>
  <si>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</si>
  <si>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</si>
  <si>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</si>
  <si>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</si>
  <si>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</si>
  <si>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</si>
  <si>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</si>
  <si>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</si>
  <si>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</si>
  <si>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</si>
  <si>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</si>
  <si>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</si>
  <si>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</si>
  <si>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</si>
  <si>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</si>
  <si>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</si>
  <si>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</si>
  <si>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</si>
  <si>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</si>
  <si>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</si>
  <si>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</si>
  <si>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</si>
  <si>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</si>
  <si>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</si>
  <si>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</si>
  <si>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</si>
  <si>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</si>
  <si>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</si>
  <si>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</si>
  <si>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</si>
  <si>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</si>
  <si>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</si>
  <si>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</si>
  <si>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</si>
  <si>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</si>
  <si>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</si>
  <si>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</si>
  <si>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</si>
  <si>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</si>
  <si>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</si>
  <si>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</si>
  <si>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</si>
  <si>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</si>
  <si>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</si>
  <si>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</si>
  <si>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</si>
  <si>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</si>
  <si>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</si>
  <si>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</si>
  <si>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</si>
  <si>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</si>
  <si>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</si>
  <si>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</si>
  <si>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</si>
  <si>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</si>
  <si>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</si>
  <si>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</si>
  <si>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</si>
  <si>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</si>
  <si>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</si>
  <si>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</si>
  <si>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</si>
  <si>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</si>
  <si>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</si>
  <si>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</si>
  <si>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</si>
  <si>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</si>
  <si>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</si>
  <si>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</si>
  <si>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</si>
  <si>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</si>
  <si>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</si>
  <si>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</si>
  <si>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</si>
  <si>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</si>
  <si>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</si>
  <si>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</si>
  <si>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</si>
  <si>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</si>
  <si>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</si>
  <si>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</si>
  <si>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</si>
  <si>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</si>
  <si>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</si>
  <si>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</si>
  <si>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</si>
  <si>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</si>
  <si>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</si>
  <si>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</si>
  <si>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</si>
  <si>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</si>
  <si>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</si>
  <si>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</si>
  <si>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</si>
  <si>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</si>
  <si>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</si>
  <si>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</si>
  <si>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</si>
  <si>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</si>
  <si>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</si>
  <si>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</si>
  <si>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</si>
  <si>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</si>
  <si>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</si>
  <si>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</si>
  <si>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</si>
  <si>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</si>
  <si>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</si>
  <si>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</si>
  <si>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</si>
  <si>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</si>
  <si>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</si>
  <si>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</si>
  <si>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</si>
  <si>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</si>
  <si>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</si>
  <si>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</si>
  <si>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</si>
  <si>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</si>
  <si>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</si>
  <si>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</si>
  <si>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</si>
  <si>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</si>
  <si>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</si>
  <si>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</si>
  <si>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</si>
  <si>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</si>
  <si>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</si>
  <si>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</si>
  <si>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</si>
  <si>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</si>
  <si>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</si>
  <si>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</si>
  <si>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</si>
  <si>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</si>
  <si>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</si>
  <si>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</si>
  <si>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</si>
  <si>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</si>
  <si>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</si>
  <si>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</si>
  <si>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</si>
  <si>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</si>
  <si>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</si>
  <si>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</si>
  <si>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</si>
  <si>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</si>
  <si>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</si>
  <si>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</si>
  <si>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</si>
  <si>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</si>
  <si>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</si>
  <si>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</si>
  <si>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</si>
  <si>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</si>
  <si>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</si>
  <si>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</si>
  <si>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</si>
  <si>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</si>
  <si>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</si>
  <si>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</si>
  <si>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</si>
  <si>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</si>
  <si>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</si>
  <si>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</si>
  <si>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</si>
  <si>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</si>
  <si>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</si>
  <si>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</si>
  <si>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</si>
  <si>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</si>
  <si>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</si>
  <si>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</si>
  <si>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</si>
  <si>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</si>
  <si>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</si>
  <si>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</si>
  <si>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</si>
  <si>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</si>
  <si>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</si>
  <si>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</si>
  <si>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</si>
  <si>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</si>
  <si>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</si>
  <si>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</si>
  <si>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</si>
  <si>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</si>
  <si>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</si>
  <si>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</si>
  <si>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</si>
  <si>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</si>
  <si>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</si>
  <si>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</si>
  <si>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</si>
  <si>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</si>
  <si>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</si>
  <si>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</si>
  <si>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</si>
  <si>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</si>
  <si>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</si>
  <si>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</si>
  <si>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</si>
  <si>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</si>
  <si>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</si>
  <si>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</si>
  <si>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</si>
  <si>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</si>
  <si>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</si>
  <si>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</si>
  <si>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</si>
  <si>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</si>
  <si>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</si>
  <si>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</si>
  <si>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</si>
  <si>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</si>
  <si>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</si>
  <si>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</si>
  <si>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</si>
  <si>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</si>
  <si>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</si>
  <si>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</si>
  <si>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</si>
  <si>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</si>
  <si>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</si>
  <si>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</si>
  <si>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</si>
  <si>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</si>
  <si>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</si>
  <si>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</si>
  <si>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</si>
  <si>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</si>
  <si>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</si>
  <si>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</si>
  <si>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</si>
  <si>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</si>
  <si>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</si>
  <si>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</si>
  <si>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</si>
  <si>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</si>
  <si>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</si>
  <si>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</si>
  <si>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</si>
  <si>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</si>
  <si>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</si>
  <si>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</si>
  <si>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</si>
  <si>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</si>
  <si>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</si>
  <si>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</si>
  <si>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</si>
  <si>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</si>
  <si>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</si>
  <si>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</si>
  <si>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</si>
  <si>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</si>
  <si>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</si>
  <si>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</si>
  <si>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</si>
  <si>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</si>
  <si>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</si>
  <si>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</si>
  <si>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</si>
  <si>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</si>
  <si>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</si>
  <si>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</si>
  <si>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</si>
  <si>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</si>
  <si>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</si>
  <si>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</si>
  <si>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</si>
  <si>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</si>
  <si>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</si>
  <si>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</si>
  <si>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</si>
  <si>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</si>
  <si>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</si>
  <si>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</si>
  <si>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</si>
  <si>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</si>
  <si>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</si>
  <si>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</si>
  <si>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</si>
  <si>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</si>
  <si>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</si>
  <si>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</si>
  <si>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</si>
  <si>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</si>
  <si>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</si>
  <si>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</si>
  <si>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</si>
  <si>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</si>
  <si>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</si>
  <si>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</si>
  <si>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</si>
  <si>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</si>
  <si>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</si>
  <si>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</si>
  <si>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</si>
  <si>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</si>
  <si>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</si>
  <si>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</si>
  <si>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</si>
  <si>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</si>
  <si>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</si>
  <si>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</si>
  <si>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</si>
  <si>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</si>
  <si>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</si>
  <si>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</si>
  <si>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</si>
  <si>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</si>
  <si>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</si>
  <si>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</si>
  <si>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</si>
  <si>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</si>
  <si>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</si>
  <si>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</si>
  <si>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</si>
  <si>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</si>
  <si>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</si>
  <si>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</si>
  <si>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</si>
  <si>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</si>
  <si>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</si>
  <si>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</si>
  <si>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</si>
  <si>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</si>
  <si>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</si>
  <si>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</si>
  <si>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</si>
  <si>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</si>
  <si>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</si>
  <si>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</si>
  <si>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</si>
  <si>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</si>
  <si>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</si>
  <si>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</si>
  <si>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</si>
  <si>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</si>
  <si>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</si>
  <si>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</si>
  <si>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</si>
  <si>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</si>
  <si>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</si>
  <si>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</si>
  <si>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</si>
  <si>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</si>
  <si>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</si>
  <si>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</si>
  <si>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</si>
  <si>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</si>
  <si>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</si>
  <si>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</si>
  <si>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</si>
  <si>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</si>
  <si>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</si>
  <si>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</si>
  <si>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</si>
  <si>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</si>
  <si>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</si>
  <si>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</si>
  <si>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</si>
  <si>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</si>
  <si>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</si>
  <si>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</si>
  <si>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</si>
  <si>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</si>
  <si>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</si>
  <si>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</si>
  <si>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</si>
  <si>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</si>
  <si>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</si>
  <si>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</si>
  <si>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</si>
  <si>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</si>
  <si>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</si>
  <si>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</si>
  <si>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</si>
  <si>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</si>
  <si>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</si>
  <si>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</si>
  <si>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</si>
  <si>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</si>
  <si>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</si>
  <si>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</si>
  <si>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</si>
  <si>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</si>
  <si>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</si>
  <si>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</si>
  <si>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</si>
  <si>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</si>
  <si>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</si>
  <si>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</si>
  <si>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</si>
  <si>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</si>
  <si>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</si>
  <si>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</si>
  <si>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</si>
  <si>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</si>
  <si>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</si>
  <si>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</si>
  <si>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</si>
  <si>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</si>
  <si>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</si>
  <si>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</si>
  <si>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</si>
  <si>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</si>
  <si>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</si>
  <si>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</si>
  <si>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</si>
  <si>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</si>
  <si>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</si>
  <si>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</si>
  <si>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</si>
  <si>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</si>
  <si>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</si>
  <si>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</si>
  <si>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</si>
  <si>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</si>
  <si>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</si>
  <si>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</si>
  <si>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</si>
  <si>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</si>
  <si>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</si>
  <si>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</si>
  <si>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</si>
  <si>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</si>
  <si>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</si>
  <si>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</si>
  <si>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</si>
  <si>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</si>
  <si>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</si>
  <si>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</si>
  <si>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</si>
  <si>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</si>
  <si>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</si>
  <si>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</si>
  <si>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</si>
  <si>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</si>
  <si>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</si>
  <si>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</si>
  <si>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</si>
  <si>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</si>
  <si>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</si>
  <si>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</si>
  <si>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</si>
  <si>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</si>
  <si>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</si>
  <si>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</si>
  <si>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</si>
  <si>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</si>
  <si>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</si>
  <si>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</si>
  <si>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</si>
  <si>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</si>
  <si>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</si>
  <si>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</si>
  <si>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</si>
  <si>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</si>
  <si>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</si>
  <si>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</si>
  <si>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</si>
  <si>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</si>
  <si>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</si>
  <si>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</si>
  <si>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</si>
  <si>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</si>
  <si>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</si>
  <si>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</si>
  <si>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</si>
  <si>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</si>
  <si>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</si>
  <si>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</si>
  <si>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</si>
  <si>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</si>
  <si>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</si>
  <si>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</si>
  <si>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</si>
  <si>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</si>
  <si>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</si>
  <si>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</si>
  <si>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</si>
  <si>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</si>
  <si>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</si>
  <si>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</si>
  <si>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</si>
  <si>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</si>
  <si>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</si>
  <si>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</si>
  <si>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</si>
  <si>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</si>
  <si>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</si>
  <si>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</si>
  <si>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</si>
  <si>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</si>
  <si>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</si>
  <si>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</si>
  <si>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</si>
  <si>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</si>
  <si>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</si>
  <si>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</si>
  <si>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</si>
  <si>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</si>
  <si>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</si>
  <si>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</si>
  <si>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</si>
  <si>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</si>
  <si>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</si>
  <si>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</si>
  <si>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</si>
  <si>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</si>
  <si>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</si>
  <si>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</si>
  <si>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</si>
  <si>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</si>
  <si>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</si>
  <si>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</si>
  <si>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</si>
  <si>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</si>
  <si>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</si>
  <si>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</si>
  <si>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</si>
  <si>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</si>
  <si>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</si>
  <si>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</si>
  <si>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</si>
  <si>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</si>
  <si>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</si>
  <si>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</si>
  <si>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</si>
  <si>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</si>
  <si>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</si>
  <si>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</si>
  <si>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</si>
  <si>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</si>
  <si>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</si>
  <si>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</si>
  <si>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</si>
  <si>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</si>
  <si>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</si>
  <si>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</si>
  <si>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</si>
  <si>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</si>
  <si>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</si>
  <si>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</si>
  <si>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</si>
  <si>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</si>
  <si>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</si>
  <si>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</si>
  <si>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</si>
  <si>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</si>
  <si>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</si>
  <si>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</si>
  <si>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</si>
  <si>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</si>
  <si>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</si>
  <si>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</si>
  <si>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</si>
  <si>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</si>
  <si>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</si>
  <si>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</si>
  <si>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</si>
  <si>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</si>
  <si>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</si>
  <si>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</si>
  <si>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</si>
  <si>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</si>
  <si>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</si>
  <si>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</si>
  <si>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</si>
  <si>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</si>
  <si>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</si>
  <si>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</si>
  <si>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</si>
  <si>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</si>
  <si>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</si>
  <si>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</si>
  <si>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</si>
  <si>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</si>
  <si>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</si>
  <si>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</si>
  <si>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</si>
  <si>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</si>
  <si>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</si>
  <si>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</si>
  <si>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</si>
  <si>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</si>
  <si>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</si>
  <si>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</si>
  <si>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</si>
  <si>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</si>
  <si>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</si>
  <si>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</si>
  <si>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</si>
  <si>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</si>
  <si>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</si>
  <si>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</si>
  <si>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</si>
  <si>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</si>
  <si>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</si>
  <si>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</si>
  <si>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</si>
  <si>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</si>
  <si>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</si>
  <si>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</si>
  <si>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</si>
  <si>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</si>
  <si>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</si>
  <si>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</si>
  <si>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</si>
  <si>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</si>
  <si>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</si>
  <si>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</si>
  <si>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</si>
  <si>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</si>
  <si>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</si>
  <si>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</si>
  <si>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</si>
  <si>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</si>
  <si>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</si>
  <si>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</si>
  <si>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</si>
  <si>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</si>
  <si>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</si>
  <si>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</si>
  <si>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</si>
  <si>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</si>
  <si>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</si>
  <si>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</si>
  <si>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</si>
  <si>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</si>
  <si>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</si>
  <si>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</si>
  <si>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</si>
  <si>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</si>
  <si>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</si>
  <si>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</si>
  <si>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</si>
  <si>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</si>
  <si>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</si>
  <si>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</si>
  <si>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</si>
  <si>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</si>
  <si>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</si>
  <si>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</si>
  <si>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</si>
  <si>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</si>
  <si>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</si>
  <si>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</si>
  <si>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</si>
  <si>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</si>
  <si>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</si>
  <si>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</si>
  <si>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</si>
  <si>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</si>
  <si>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</si>
  <si>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</si>
  <si>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</si>
  <si>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</si>
  <si>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</si>
  <si>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</si>
  <si>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</si>
  <si>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</si>
  <si>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</si>
  <si>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</si>
  <si>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</si>
  <si>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</si>
  <si>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</si>
  <si>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</si>
  <si>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</si>
  <si>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</si>
  <si>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</si>
  <si>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</si>
  <si>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</si>
  <si>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</si>
  <si>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</si>
  <si>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</si>
  <si>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</si>
  <si>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</si>
  <si>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</si>
  <si>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</si>
  <si>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</si>
  <si>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</si>
  <si>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</si>
  <si>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</si>
  <si>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</si>
  <si>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</si>
  <si>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</si>
  <si>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</si>
  <si>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</si>
  <si>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</si>
  <si>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</si>
  <si>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</si>
  <si>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</si>
  <si>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</si>
  <si>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</si>
  <si>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</si>
  <si>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</si>
  <si>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</si>
  <si>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</si>
  <si>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</si>
  <si>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</si>
  <si>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</si>
  <si>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</si>
  <si>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</si>
  <si>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</si>
  <si>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</si>
  <si>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</si>
  <si>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</si>
  <si>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</si>
  <si>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</si>
  <si>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</si>
  <si>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</si>
  <si>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</si>
  <si>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</si>
  <si>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</si>
  <si>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</si>
  <si>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</si>
  <si>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</si>
  <si>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</si>
  <si>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</si>
  <si>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</si>
  <si>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</si>
  <si>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</si>
  <si>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</si>
  <si>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</si>
  <si>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</si>
  <si>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</si>
  <si>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</si>
  <si>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</si>
  <si>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</si>
  <si>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</si>
  <si>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</si>
  <si>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</si>
  <si>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</si>
  <si>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</si>
  <si>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</si>
  <si>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</si>
  <si>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</si>
  <si>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</si>
  <si>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</si>
  <si>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</si>
  <si>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</si>
  <si>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</si>
  <si>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</si>
  <si>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</si>
  <si>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</si>
  <si>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</si>
  <si>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</si>
  <si>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</si>
  <si>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</si>
  <si>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</si>
  <si>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</si>
  <si>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</si>
  <si>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</si>
  <si>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</si>
  <si>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</si>
  <si>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</si>
  <si>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</si>
  <si>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</si>
  <si>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</si>
  <si>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</si>
  <si>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</si>
  <si>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</si>
  <si>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</si>
  <si>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</si>
  <si>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</si>
  <si>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</si>
  <si>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</si>
  <si>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</si>
  <si>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</si>
  <si>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</si>
  <si>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</si>
  <si>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</si>
  <si>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</si>
  <si>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</si>
  <si>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</si>
  <si>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</si>
  <si>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</si>
  <si>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</si>
  <si>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</si>
  <si>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</si>
  <si>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</si>
  <si>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</si>
  <si>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</si>
  <si>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</si>
  <si>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</si>
  <si>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</si>
  <si>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</si>
  <si>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</si>
  <si>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</si>
  <si>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</si>
  <si>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</si>
  <si>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</si>
  <si>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</si>
  <si>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</si>
  <si>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</si>
  <si>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</si>
  <si>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</si>
  <si>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</si>
  <si>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</si>
  <si>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</si>
  <si>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</si>
  <si>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</si>
  <si>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</si>
  <si>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</si>
  <si>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</si>
  <si>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</si>
  <si>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</si>
  <si>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</si>
  <si>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</si>
  <si>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</si>
  <si>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</si>
  <si>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</si>
  <si>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</si>
  <si>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</si>
  <si>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</si>
  <si>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</si>
  <si>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</si>
  <si>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</si>
  <si>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</si>
  <si>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</si>
  <si>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</si>
  <si>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</si>
  <si>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</si>
  <si>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</si>
  <si>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</si>
  <si>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</si>
  <si>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</si>
  <si>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</si>
  <si>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</si>
  <si>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</si>
  <si>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</si>
  <si>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</si>
  <si>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</si>
  <si>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</si>
  <si>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</si>
  <si>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</si>
  <si>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</si>
  <si>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</si>
  <si>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</si>
  <si>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</si>
  <si>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</si>
  <si>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</si>
  <si>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</si>
  <si>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</si>
  <si>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</si>
  <si>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</si>
  <si>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</si>
  <si>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</si>
  <si>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</si>
  <si>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</si>
  <si>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</si>
  <si>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</si>
  <si>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</si>
  <si>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</si>
  <si>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</si>
  <si>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</si>
  <si>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</si>
  <si>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</si>
  <si>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</si>
  <si>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</si>
  <si>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</si>
  <si>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</si>
  <si>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</si>
  <si>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</si>
  <si>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</si>
  <si>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</si>
  <si>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</si>
  <si>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</si>
  <si>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</si>
  <si>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</si>
  <si>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</si>
  <si>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</si>
  <si>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</si>
  <si>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</si>
  <si>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</si>
  <si>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</si>
  <si>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</si>
  <si>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</si>
  <si>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</si>
  <si>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</si>
  <si>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</si>
  <si>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</si>
  <si>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</si>
  <si>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</si>
  <si>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</si>
  <si>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</si>
  <si>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</si>
  <si>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</si>
  <si>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</si>
  <si>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</si>
  <si>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</si>
  <si>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</si>
  <si>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</si>
  <si>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</si>
  <si>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</si>
  <si>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</si>
  <si>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</si>
  <si>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</si>
  <si>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</si>
  <si>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</si>
  <si>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</si>
  <si>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</si>
  <si>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</si>
  <si>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</si>
  <si>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</si>
  <si>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</si>
  <si>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</si>
  <si>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</si>
  <si>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</si>
  <si>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</si>
  <si>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</si>
  <si>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</si>
  <si>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</si>
  <si>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</si>
  <si>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</si>
  <si>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</si>
  <si>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</si>
  <si>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</si>
  <si>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</si>
  <si>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</si>
  <si>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</si>
  <si>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</si>
  <si>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</si>
  <si>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</si>
  <si>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</si>
  <si>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</si>
  <si>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</si>
  <si>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</si>
  <si>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</si>
  <si>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</si>
  <si>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</si>
  <si>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</si>
  <si>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</si>
  <si>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</si>
  <si>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</si>
  <si>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</si>
  <si>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</si>
  <si>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</si>
  <si>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</si>
  <si>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</si>
  <si>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</si>
  <si>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</si>
  <si>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</si>
  <si>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</si>
  <si>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</si>
  <si>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</si>
  <si>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</si>
  <si>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</si>
  <si>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</si>
  <si>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</si>
  <si>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</si>
  <si>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</si>
  <si>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</si>
  <si>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</si>
  <si>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</si>
  <si>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</si>
  <si>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</si>
  <si>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</si>
  <si>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</si>
  <si>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</si>
  <si>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</si>
  <si>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</si>
  <si>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</si>
  <si>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</si>
  <si>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</si>
  <si>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</si>
  <si>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</si>
  <si>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</si>
  <si>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</si>
  <si>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</si>
  <si>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</si>
  <si>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</si>
  <si>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</si>
  <si>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</si>
  <si>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</si>
  <si>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</si>
  <si>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</si>
  <si>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</si>
  <si>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</si>
  <si>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</si>
  <si>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</si>
  <si>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</si>
  <si>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</si>
  <si>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</si>
  <si>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</si>
  <si>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</si>
  <si>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</si>
  <si>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</si>
  <si>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</si>
  <si>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</si>
  <si>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</si>
  <si>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</si>
  <si>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</si>
  <si>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</si>
  <si>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</si>
  <si>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</si>
  <si>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</si>
  <si>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</si>
  <si>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</si>
  <si>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</si>
  <si>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</si>
  <si>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</si>
  <si>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</si>
  <si>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</si>
  <si>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</si>
  <si>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</si>
  <si>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</si>
  <si>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</si>
  <si>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</si>
  <si>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</si>
  <si>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</si>
  <si>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</si>
  <si>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</si>
  <si>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</si>
  <si>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</si>
  <si>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</si>
  <si>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</si>
  <si>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</si>
  <si>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</si>
  <si>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</si>
  <si>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</si>
  <si>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</si>
  <si>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</si>
  <si>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</si>
  <si>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</si>
  <si>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</si>
  <si>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</si>
  <si>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</si>
  <si>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</si>
  <si>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</si>
  <si>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</si>
  <si>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</si>
  <si>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</si>
  <si>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</si>
  <si>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</si>
  <si>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</si>
  <si>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</si>
  <si>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</si>
  <si>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</si>
  <si>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</si>
  <si>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</si>
  <si>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</si>
  <si>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</si>
  <si>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</si>
  <si>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</si>
  <si>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</si>
  <si>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</si>
  <si>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</si>
  <si>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</si>
  <si>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</si>
  <si>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</si>
  <si>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</si>
  <si>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</si>
  <si>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</si>
  <si>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</si>
  <si>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</si>
  <si>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</si>
  <si>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</si>
  <si>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</si>
  <si>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</si>
  <si>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</si>
  <si>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</si>
  <si>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</si>
  <si>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</si>
  <si>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</si>
  <si>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</si>
  <si>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</si>
  <si>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</si>
  <si>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</si>
  <si>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</si>
  <si>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</si>
  <si>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</si>
  <si>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</si>
  <si>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</si>
  <si>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</si>
  <si>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</si>
  <si>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</si>
  <si>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</si>
  <si>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</si>
  <si>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</si>
  <si>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</si>
  <si>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</si>
  <si>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</si>
  <si>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</si>
  <si>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</si>
  <si>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</si>
  <si>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</si>
  <si>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</si>
  <si>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</si>
  <si>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</si>
  <si>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</si>
  <si>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</si>
  <si>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</si>
  <si>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</si>
  <si>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</si>
  <si>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</si>
  <si>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</si>
  <si>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</si>
  <si>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</si>
  <si>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</si>
  <si>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</si>
  <si>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</si>
  <si>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</si>
  <si>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</si>
  <si>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</si>
  <si>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</si>
  <si>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</si>
  <si>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</si>
  <si>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</si>
  <si>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</si>
  <si>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</si>
  <si>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</si>
  <si>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</si>
  <si>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</si>
  <si>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</si>
  <si>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</si>
  <si>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</si>
  <si>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</si>
  <si>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</si>
  <si>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</si>
  <si>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</si>
  <si>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</si>
  <si>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</si>
  <si>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</si>
  <si>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</si>
  <si>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</si>
  <si>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</si>
  <si>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</si>
  <si>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</si>
  <si>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</si>
  <si>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</si>
  <si>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</si>
  <si>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</si>
  <si>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</si>
  <si>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</si>
  <si>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</si>
  <si>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</si>
  <si>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</si>
  <si>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</si>
  <si>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</si>
  <si>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</si>
  <si>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</si>
  <si>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</si>
  <si>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</si>
  <si>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</si>
  <si>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</si>
  <si>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</si>
  <si>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</si>
  <si>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</si>
  <si>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</si>
  <si>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</si>
  <si>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</si>
  <si>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</si>
  <si>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</si>
  <si>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</si>
  <si>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</si>
  <si>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</si>
  <si>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</si>
  <si>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</si>
  <si>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</si>
  <si>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</si>
  <si>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</si>
  <si>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</si>
  <si>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</si>
  <si>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</si>
  <si>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</si>
  <si>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</si>
  <si>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</si>
  <si>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</si>
  <si>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</si>
  <si>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</si>
  <si>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</si>
  <si>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</si>
  <si>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</si>
  <si>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</si>
  <si>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</si>
  <si>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</si>
  <si>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</si>
  <si>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</si>
  <si>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</si>
  <si>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</si>
  <si>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</si>
  <si>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</si>
  <si>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</si>
  <si>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</si>
  <si>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</si>
  <si>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</si>
  <si>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</si>
  <si>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</si>
  <si>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</si>
  <si>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</si>
  <si>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</si>
  <si>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</si>
  <si>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</si>
  <si>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</si>
  <si>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</si>
  <si>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</si>
  <si>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</si>
  <si>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</si>
  <si>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</si>
  <si>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</si>
  <si>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</si>
  <si>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</si>
  <si>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</si>
  <si>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</si>
  <si>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</si>
  <si>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</si>
  <si>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</si>
  <si>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</si>
  <si>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</si>
  <si>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</si>
  <si>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</si>
  <si>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</si>
  <si>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</si>
  <si>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</si>
  <si>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</si>
  <si>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</si>
  <si>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</si>
  <si>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</si>
  <si>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</si>
  <si>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</si>
  <si>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</si>
  <si>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</si>
  <si>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</si>
  <si>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</si>
  <si>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</si>
  <si>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</si>
  <si>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</si>
  <si>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</si>
  <si>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</si>
  <si>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</si>
  <si>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</si>
  <si>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</si>
  <si>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</si>
  <si>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</si>
  <si>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</si>
  <si>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</si>
  <si>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</si>
  <si>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</si>
  <si>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</si>
  <si>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</si>
  <si>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</si>
  <si>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</si>
  <si>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</si>
  <si>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</si>
  <si>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</si>
  <si>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</si>
  <si>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</si>
  <si>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</si>
  <si>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</si>
  <si>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</si>
  <si>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</si>
  <si>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</si>
  <si>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</si>
  <si>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</si>
  <si>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</si>
  <si>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</si>
  <si>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</si>
  <si>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</si>
  <si>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</si>
  <si>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</si>
  <si>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</si>
  <si>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</si>
  <si>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</si>
  <si>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</si>
  <si>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</si>
  <si>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</si>
  <si>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</si>
  <si>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</si>
  <si>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</si>
  <si>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</si>
  <si>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</si>
  <si>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</si>
  <si>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</si>
  <si>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</si>
  <si>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</si>
  <si>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</si>
  <si>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</si>
  <si>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</si>
  <si>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</si>
  <si>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</si>
  <si>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</si>
  <si>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</si>
  <si>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</si>
  <si>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</si>
  <si>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</si>
  <si>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</si>
  <si>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</si>
  <si>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</si>
  <si>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</si>
  <si>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</si>
  <si>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</si>
  <si>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</si>
  <si>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</si>
  <si>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</si>
  <si>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</si>
  <si>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</si>
  <si>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</si>
  <si>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</si>
  <si>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</si>
  <si>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</si>
  <si>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</si>
  <si>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</si>
  <si>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</si>
  <si>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</si>
  <si>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</si>
  <si>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</si>
  <si>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</si>
  <si>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</si>
  <si>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</si>
  <si>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</si>
  <si>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</si>
  <si>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</si>
  <si>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</si>
  <si>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</si>
  <si>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</si>
  <si>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</si>
  <si>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</si>
  <si>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</si>
  <si>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</si>
  <si>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</si>
  <si>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</si>
  <si>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</si>
  <si>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</si>
  <si>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</si>
  <si>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</si>
  <si>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</si>
  <si>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</si>
  <si>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</si>
  <si>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</si>
  <si>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</si>
  <si>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</si>
  <si>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</si>
  <si>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</si>
  <si>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</si>
  <si>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</si>
  <si>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</si>
  <si>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</si>
  <si>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</si>
  <si>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</si>
  <si>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</si>
  <si>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</si>
  <si>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</si>
  <si>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</si>
  <si>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</si>
  <si>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</si>
  <si>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</si>
  <si>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</si>
  <si>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</si>
  <si>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</si>
  <si>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</si>
  <si>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</si>
  <si>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</si>
  <si>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</si>
  <si>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</si>
  <si>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</si>
  <si>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</si>
  <si>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</si>
  <si>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</si>
  <si>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</si>
  <si>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</si>
  <si>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</si>
  <si>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</si>
  <si>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</si>
  <si>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</si>
  <si>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</si>
  <si>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</si>
  <si>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</si>
  <si>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</si>
  <si>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</si>
  <si>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</si>
  <si>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</si>
  <si>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</si>
  <si>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</si>
  <si>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</si>
  <si>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</si>
  <si>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</si>
  <si>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</si>
  <si>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</si>
  <si>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</si>
  <si>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</si>
  <si>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</si>
  <si>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</si>
  <si>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</si>
  <si>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</si>
  <si>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</si>
  <si>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</si>
  <si>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</si>
  <si>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</si>
  <si>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</si>
  <si>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</si>
  <si>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</si>
  <si>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</si>
  <si>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</si>
  <si>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</si>
  <si>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</si>
  <si>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</si>
  <si>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</si>
  <si>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</si>
  <si>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</si>
  <si>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</si>
  <si>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</si>
  <si>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</si>
  <si>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</si>
  <si>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</si>
  <si>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</si>
  <si>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</si>
  <si>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</si>
  <si>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</si>
  <si>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</si>
  <si>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</si>
  <si>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</si>
  <si>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</si>
  <si>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</si>
  <si>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</si>
  <si>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</si>
  <si>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</si>
  <si>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</si>
  <si>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</si>
  <si>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</si>
  <si>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</si>
  <si>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</si>
  <si>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</si>
  <si>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</si>
  <si>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</si>
  <si>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</si>
  <si>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</si>
  <si>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</si>
  <si>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</si>
  <si>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</si>
  <si>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</si>
  <si>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</si>
  <si>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</si>
  <si>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</si>
  <si>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</si>
  <si>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</si>
  <si>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</si>
  <si>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</si>
  <si>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</si>
  <si>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</si>
  <si>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</si>
  <si>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</si>
  <si>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</si>
  <si>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</si>
  <si>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</si>
  <si>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</si>
  <si>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</si>
  <si>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</si>
  <si>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</si>
  <si>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</si>
  <si>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</si>
  <si>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</si>
  <si>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</si>
  <si>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</si>
  <si>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</si>
  <si>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</si>
  <si>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</si>
  <si>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</si>
  <si>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</si>
  <si>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</si>
  <si>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</si>
  <si>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</si>
  <si>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</si>
  <si>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</si>
  <si>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</si>
  <si>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</si>
  <si>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</si>
  <si>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</si>
  <si>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</si>
  <si>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</si>
  <si>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</si>
  <si>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</si>
  <si>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</si>
  <si>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</si>
  <si>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</si>
  <si>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</si>
  <si>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</si>
  <si>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</si>
  <si>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</si>
  <si>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</si>
  <si>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</si>
  <si>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</si>
  <si>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</si>
  <si>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</si>
  <si>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</si>
  <si>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</si>
  <si>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</si>
  <si>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</si>
  <si>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</si>
  <si>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</si>
  <si>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</si>
  <si>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</si>
  <si>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</si>
  <si>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</si>
  <si>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</si>
  <si>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</si>
  <si>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</si>
  <si>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</si>
  <si>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</si>
  <si>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</si>
  <si>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</si>
  <si>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</si>
  <si>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</si>
  <si>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</si>
  <si>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</si>
  <si>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</si>
  <si>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</si>
  <si>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</si>
  <si>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</si>
  <si>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</si>
  <si>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</si>
  <si>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</si>
  <si>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</si>
  <si>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</si>
  <si>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</si>
  <si>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</si>
  <si>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</si>
  <si>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</si>
  <si>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</si>
  <si>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</si>
  <si>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</si>
  <si>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</si>
  <si>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</si>
  <si>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</si>
  <si>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</si>
  <si>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</si>
  <si>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</si>
  <si>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</si>
  <si>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</si>
  <si>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</si>
  <si>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</si>
  <si>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</si>
  <si>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</si>
  <si>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</si>
  <si>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</si>
  <si>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</si>
  <si>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</si>
  <si>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</si>
  <si>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</si>
  <si>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</si>
  <si>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</si>
  <si>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</si>
  <si>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</si>
  <si>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</si>
  <si>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</si>
  <si>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</si>
  <si>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</si>
  <si>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</si>
  <si>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</si>
  <si>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</si>
  <si>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</si>
  <si>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</si>
  <si>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</si>
  <si>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</si>
  <si>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</si>
  <si>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</si>
  <si>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</si>
  <si>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</si>
  <si>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</si>
  <si>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</si>
  <si>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</si>
  <si>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</si>
  <si>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</si>
  <si>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</si>
  <si>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</si>
  <si>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</si>
  <si>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</si>
  <si>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</si>
  <si>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</si>
  <si>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</si>
  <si>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</si>
  <si>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</si>
  <si>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</si>
  <si>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</si>
  <si>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</si>
  <si>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</si>
  <si>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</si>
  <si>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</si>
  <si>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</si>
  <si>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</si>
  <si>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</si>
  <si>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</si>
  <si>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</si>
  <si>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</si>
  <si>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</si>
  <si>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</si>
  <si>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</si>
  <si>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</si>
  <si>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</si>
  <si>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</si>
  <si>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</si>
  <si>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</si>
  <si>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</si>
  <si>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</si>
  <si>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</si>
  <si>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</si>
  <si>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</si>
  <si>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</si>
  <si>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</si>
  <si>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</si>
  <si>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</si>
  <si>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</si>
  <si>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</si>
  <si>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</si>
  <si>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</si>
  <si>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</si>
  <si>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</si>
  <si>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</si>
  <si>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</si>
  <si>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</si>
  <si>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</si>
  <si>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</si>
  <si>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</si>
  <si>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</si>
  <si>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</si>
  <si>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</si>
  <si>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</si>
  <si>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</si>
  <si>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</si>
  <si>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</si>
  <si>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</si>
  <si>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</si>
  <si>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</si>
  <si>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</si>
  <si>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</si>
  <si>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</si>
  <si>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</si>
  <si>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</si>
  <si>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</si>
  <si>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</si>
  <si>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</si>
  <si>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</si>
  <si>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</si>
  <si>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</si>
  <si>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</si>
  <si>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</si>
  <si>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</si>
  <si>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</si>
  <si>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</si>
  <si>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</si>
  <si>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</si>
  <si>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</si>
  <si>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</si>
  <si>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</si>
  <si>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</si>
  <si>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</si>
  <si>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</si>
  <si>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</si>
  <si>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</si>
  <si>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</si>
  <si>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</si>
  <si>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</si>
  <si>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</si>
  <si>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</si>
  <si>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</si>
  <si>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</si>
  <si>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</si>
  <si>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</si>
  <si>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</si>
  <si>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</si>
  <si>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</si>
  <si>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</si>
  <si>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</si>
  <si>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</si>
  <si>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</si>
  <si>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</si>
  <si>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</si>
  <si>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</si>
  <si>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</si>
  <si>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</si>
  <si>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</si>
  <si>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</si>
  <si>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</si>
  <si>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</si>
  <si>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</si>
  <si>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</si>
  <si>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</si>
  <si>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</si>
  <si>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</si>
  <si>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</si>
  <si>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</si>
  <si>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</si>
  <si>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</si>
  <si>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</si>
  <si>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</si>
  <si>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</si>
  <si>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</si>
  <si>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</si>
  <si>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</si>
  <si>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</si>
  <si>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</si>
  <si>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</si>
  <si>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</si>
  <si>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</si>
  <si>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</si>
  <si>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</si>
  <si>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</si>
  <si>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</si>
  <si>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</si>
  <si>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</si>
  <si>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</si>
  <si>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</si>
  <si>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</si>
  <si>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</si>
  <si>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</si>
  <si>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</si>
  <si>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</si>
  <si>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</si>
  <si>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</si>
  <si>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</si>
  <si>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</si>
  <si>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</si>
  <si>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</si>
  <si>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</si>
  <si>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</si>
  <si>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</si>
  <si>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</si>
  <si>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</si>
  <si>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</si>
  <si>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</si>
  <si>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</si>
  <si>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</si>
  <si>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</si>
  <si>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</si>
  <si>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</si>
  <si>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</si>
  <si>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</si>
  <si>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</si>
  <si>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</si>
  <si>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</si>
  <si>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</si>
  <si>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</si>
  <si>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</si>
  <si>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</si>
  <si>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</si>
  <si>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</si>
  <si>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</si>
  <si>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</si>
  <si>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</si>
  <si>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</si>
  <si>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</si>
  <si>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</si>
  <si>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</si>
  <si>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</si>
  <si>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</si>
  <si>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</si>
  <si>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</si>
  <si>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</si>
  <si>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</si>
  <si>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</si>
  <si>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</si>
  <si>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</si>
  <si>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</si>
  <si>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</si>
  <si>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</si>
  <si>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</si>
  <si>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</si>
  <si>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</si>
  <si>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</si>
  <si>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</si>
  <si>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</si>
  <si>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</si>
  <si>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</si>
  <si>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</si>
  <si>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</si>
  <si>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</si>
  <si>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</si>
  <si>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</si>
  <si>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</si>
  <si>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</si>
  <si>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</si>
  <si>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</si>
  <si>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</si>
  <si>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</si>
  <si>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</si>
  <si>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</si>
  <si>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</si>
  <si>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</si>
  <si>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</si>
  <si>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</si>
  <si>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</si>
  <si>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</si>
  <si>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</si>
  <si>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</si>
  <si>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</si>
  <si>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</si>
  <si>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</si>
  <si>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</si>
  <si>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</si>
  <si>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</si>
  <si>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</si>
  <si>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</si>
  <si>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</si>
  <si>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</si>
  <si>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</si>
  <si>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</si>
  <si>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</si>
  <si>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</si>
  <si>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</si>
  <si>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</si>
  <si>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</si>
  <si>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</si>
  <si>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</si>
  <si>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</si>
  <si>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</si>
  <si>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</si>
  <si>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</si>
  <si>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</si>
  <si>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</si>
  <si>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</si>
  <si>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</si>
  <si>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</si>
  <si>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</si>
  <si>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</si>
  <si>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</si>
  <si>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</si>
  <si>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</si>
  <si>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</si>
  <si>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</si>
  <si>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</si>
  <si>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</si>
  <si>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</si>
  <si>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</si>
  <si>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</si>
  <si>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</si>
  <si>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</si>
  <si>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</si>
  <si>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</si>
  <si>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</si>
  <si>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</si>
  <si>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</si>
  <si>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</si>
  <si>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</si>
  <si>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</si>
  <si>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</si>
  <si>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</si>
  <si>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</si>
  <si>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</si>
  <si>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</si>
  <si>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</si>
  <si>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</si>
  <si>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</si>
  <si>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</si>
  <si>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</si>
  <si>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</si>
  <si>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</si>
  <si>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</si>
  <si>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</si>
  <si>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</si>
  <si>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</si>
  <si>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</si>
  <si>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</si>
  <si>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</si>
  <si>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</si>
  <si>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</si>
  <si>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</si>
  <si>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</si>
  <si>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</si>
  <si>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</si>
  <si>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</si>
  <si>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</si>
  <si>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</si>
  <si>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</si>
  <si>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</si>
  <si>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</si>
  <si>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</si>
  <si>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</si>
  <si>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</si>
  <si>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</si>
  <si>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</si>
  <si>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</si>
  <si>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</si>
  <si>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</si>
  <si>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</si>
  <si>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</si>
  <si>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</si>
  <si>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</si>
  <si>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</si>
  <si>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</si>
  <si>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</si>
  <si>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</si>
  <si>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</si>
  <si>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</si>
  <si>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</si>
  <si>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</si>
  <si>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</si>
  <si>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</si>
  <si>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</si>
  <si>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</si>
  <si>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</si>
  <si>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</si>
  <si>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</si>
  <si>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</si>
  <si>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</si>
  <si>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</si>
  <si>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</si>
  <si>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</si>
  <si>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</si>
  <si>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</si>
  <si>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</si>
  <si>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</si>
  <si>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</si>
  <si>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</si>
  <si>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</si>
  <si>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</si>
  <si>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</si>
  <si>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</si>
  <si>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</si>
  <si>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</si>
  <si>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</si>
  <si>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</si>
  <si>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</si>
  <si>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</si>
  <si>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</si>
  <si>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</si>
  <si>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</si>
  <si>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</si>
  <si>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</si>
  <si>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</si>
  <si>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</si>
  <si>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</si>
  <si>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</si>
  <si>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</si>
  <si>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</si>
  <si>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</si>
  <si>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</si>
  <si>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</si>
  <si>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</si>
  <si>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</si>
  <si>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</si>
  <si>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</si>
  <si>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</si>
  <si>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</si>
  <si>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</si>
  <si>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</si>
  <si>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</si>
  <si>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</si>
  <si>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</si>
  <si>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</si>
  <si>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</si>
  <si>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</si>
  <si>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</si>
  <si>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</si>
  <si>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</si>
  <si>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</si>
  <si>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</si>
  <si>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</si>
  <si>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</si>
  <si>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</si>
  <si>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</si>
  <si>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</si>
  <si>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</si>
  <si>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</si>
  <si>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</si>
  <si>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</si>
  <si>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</si>
  <si>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</si>
  <si>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</si>
  <si>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</si>
  <si>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</si>
  <si>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</si>
  <si>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</si>
  <si>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</si>
  <si>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</si>
  <si>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</si>
  <si>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</si>
  <si>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</si>
  <si>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</si>
  <si>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</si>
  <si>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</si>
  <si>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</si>
  <si>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</si>
  <si>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</si>
  <si>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</si>
  <si>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</si>
  <si>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</si>
  <si>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</si>
  <si>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</si>
  <si>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</si>
  <si>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</si>
  <si>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</si>
  <si>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</si>
  <si>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</si>
  <si>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</si>
  <si>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</si>
  <si>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</si>
  <si>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</si>
  <si>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</si>
  <si>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</si>
  <si>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</si>
  <si>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</si>
  <si>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</si>
  <si>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</si>
  <si>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</si>
  <si>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</si>
  <si>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</si>
  <si>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</si>
  <si>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</si>
  <si>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</si>
  <si>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</si>
  <si>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</si>
  <si>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</si>
  <si>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</si>
  <si>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</si>
  <si>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</si>
  <si>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</si>
  <si>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</si>
  <si>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</si>
  <si>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</si>
  <si>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</si>
  <si>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</si>
  <si>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</si>
  <si>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</si>
  <si>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</si>
  <si>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</si>
  <si>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</si>
  <si>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</si>
  <si>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</si>
  <si>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</si>
  <si>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</si>
  <si>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</si>
  <si>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</si>
  <si>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</si>
  <si>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</si>
  <si>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</si>
  <si>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</si>
  <si>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</si>
  <si>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</si>
  <si>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</si>
  <si>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</si>
  <si>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</si>
  <si>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</si>
  <si>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</si>
  <si>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</si>
  <si>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</si>
  <si>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</si>
  <si>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</si>
  <si>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</si>
  <si>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</si>
  <si>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</si>
  <si>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</si>
  <si>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</si>
  <si>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</si>
  <si>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</si>
  <si>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</si>
  <si>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</si>
  <si>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</si>
  <si>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</si>
  <si>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</si>
  <si>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</si>
  <si>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</si>
  <si>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</si>
  <si>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</si>
  <si>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</si>
  <si>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</si>
  <si>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</si>
  <si>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</si>
  <si>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</si>
  <si>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</si>
  <si>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</si>
  <si>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</si>
  <si>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</si>
  <si>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</si>
  <si>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</si>
  <si>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</si>
  <si>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</si>
  <si>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</si>
  <si>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</si>
  <si>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</si>
  <si>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</si>
  <si>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</si>
  <si>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</si>
  <si>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</si>
  <si>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</si>
  <si>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</si>
  <si>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</si>
  <si>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</si>
  <si>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</si>
  <si>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</si>
  <si>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</si>
  <si>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</si>
  <si>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</si>
  <si>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</si>
  <si>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</si>
  <si>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</si>
  <si>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</si>
  <si>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</si>
  <si>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</si>
  <si>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</si>
  <si>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</si>
  <si>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</si>
  <si>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</si>
  <si>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</si>
  <si>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</si>
  <si>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</si>
  <si>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</si>
  <si>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</si>
  <si>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</si>
  <si>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</si>
  <si>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</si>
  <si>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</si>
  <si>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</si>
  <si>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</si>
  <si>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</si>
  <si>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</si>
  <si>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</si>
  <si>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</si>
  <si>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</si>
  <si>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</si>
  <si>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</si>
  <si>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</si>
  <si>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</si>
  <si>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</si>
  <si>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</si>
  <si>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</si>
  <si>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</si>
  <si>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</si>
  <si>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</si>
  <si>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</si>
  <si>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</si>
  <si>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</si>
  <si>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</si>
  <si>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</si>
  <si>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</si>
  <si>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</si>
  <si>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</si>
  <si>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</si>
  <si>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</si>
  <si>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</si>
  <si>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</si>
  <si>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</si>
  <si>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</si>
  <si>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</si>
  <si>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</si>
  <si>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</si>
  <si>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</si>
  <si>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</si>
  <si>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</si>
  <si>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</si>
  <si>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</si>
  <si>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</si>
  <si>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</si>
  <si>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</si>
  <si>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</si>
  <si>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</si>
  <si>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</si>
  <si>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</si>
  <si>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</si>
  <si>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</si>
  <si>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</si>
  <si>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</si>
  <si>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</si>
  <si>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</si>
  <si>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</si>
  <si>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</si>
  <si>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</si>
  <si>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</si>
  <si>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</si>
  <si>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</si>
  <si>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</si>
  <si>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</si>
  <si>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</si>
  <si>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</si>
  <si>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</si>
  <si>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</si>
  <si>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</si>
  <si>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</si>
  <si>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</si>
  <si>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</si>
  <si>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</si>
  <si>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</si>
  <si>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</si>
  <si>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</si>
  <si>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</si>
  <si>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</si>
  <si>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</si>
  <si>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</si>
  <si>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</si>
  <si>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</si>
  <si>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</si>
  <si>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</si>
  <si>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</si>
  <si>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</si>
  <si>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</si>
  <si>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</si>
  <si>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</si>
  <si>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</si>
  <si>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</si>
  <si>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</si>
  <si>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</si>
  <si>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</si>
  <si>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</si>
  <si>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</si>
  <si>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</si>
  <si>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</si>
  <si>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</si>
  <si>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</si>
  <si>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</si>
  <si>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</si>
  <si>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</si>
  <si>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</si>
  <si>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</si>
  <si>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</si>
  <si>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</si>
  <si>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</si>
  <si>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</si>
  <si>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</si>
  <si>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</si>
  <si>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</si>
  <si>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</si>
  <si>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</si>
  <si>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</si>
  <si>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</si>
  <si>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</si>
  <si>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</si>
  <si>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</si>
  <si>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</si>
  <si>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</si>
  <si>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</si>
  <si>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</si>
  <si>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</si>
  <si>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</si>
  <si>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</si>
  <si>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</si>
  <si>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</si>
  <si>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</si>
  <si>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</si>
  <si>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</si>
  <si>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</si>
  <si>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</si>
  <si>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</si>
  <si>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</si>
  <si>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</si>
  <si>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</si>
  <si>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</si>
  <si>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</si>
  <si>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</si>
  <si>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</si>
  <si>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</si>
  <si>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</si>
  <si>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</si>
  <si>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</si>
  <si>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</si>
  <si>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</si>
  <si>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</si>
  <si>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</si>
  <si>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</si>
  <si>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</si>
  <si>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</si>
  <si>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</si>
  <si>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</si>
  <si>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</si>
  <si>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</si>
  <si>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</si>
  <si>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</si>
  <si>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</si>
  <si>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</si>
  <si>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</si>
  <si>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</si>
  <si>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</si>
  <si>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</si>
  <si>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</si>
  <si>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</si>
  <si>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</si>
  <si>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</si>
  <si>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</si>
  <si>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</si>
  <si>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</si>
  <si>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</si>
  <si>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</si>
  <si>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</si>
  <si>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</si>
  <si>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</si>
  <si>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</si>
  <si>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</si>
  <si>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</si>
  <si>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</si>
  <si>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</si>
  <si>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</si>
  <si>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</si>
  <si>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</si>
  <si>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</si>
  <si>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</si>
  <si>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</si>
  <si>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</si>
  <si>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</si>
  <si>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</si>
  <si>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</si>
  <si>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</si>
  <si>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</si>
  <si>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</si>
  <si>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</si>
  <si>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</si>
  <si>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</si>
  <si>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</si>
  <si>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</si>
  <si>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</si>
  <si>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</si>
  <si>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</si>
  <si>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</si>
  <si>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</si>
  <si>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</si>
  <si>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</si>
  <si>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</si>
  <si>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</si>
  <si>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</si>
  <si>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</si>
  <si>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</si>
  <si>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</si>
  <si>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</si>
  <si>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</si>
  <si>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</si>
  <si>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</si>
  <si>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</si>
  <si>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</si>
  <si>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</si>
  <si>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</si>
  <si>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</si>
  <si>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</si>
  <si>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</si>
  <si>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</si>
  <si>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</si>
  <si>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</si>
  <si>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</si>
  <si>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</si>
  <si>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</si>
  <si>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</si>
  <si>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</si>
  <si>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</si>
  <si>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</si>
  <si>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</si>
  <si>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</si>
  <si>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</si>
  <si>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</si>
  <si>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</si>
  <si>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</si>
  <si>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</si>
  <si>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</si>
  <si>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</si>
  <si>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</si>
  <si>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</si>
  <si>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</si>
  <si>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</si>
  <si>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</si>
  <si>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</si>
  <si>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</si>
  <si>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</si>
  <si>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</si>
  <si>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</si>
  <si>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</si>
  <si>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</si>
  <si>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</si>
  <si>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</si>
  <si>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</si>
  <si>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</si>
  <si>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</si>
  <si>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</si>
  <si>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</si>
  <si>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</si>
  <si>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</si>
  <si>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</si>
  <si>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</si>
  <si>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</si>
  <si>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</si>
  <si>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</si>
  <si>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</si>
  <si>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</si>
  <si>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</si>
  <si>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</si>
  <si>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</si>
  <si>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</si>
  <si>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</si>
  <si>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</si>
  <si>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</si>
  <si>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</si>
  <si>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</si>
  <si>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</si>
  <si>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</si>
  <si>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</si>
  <si>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</si>
  <si>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</si>
  <si>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</si>
  <si>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</si>
  <si>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</si>
  <si>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</si>
  <si>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</si>
  <si>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</si>
  <si>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</si>
  <si>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</si>
  <si>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</si>
  <si>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</si>
  <si>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</si>
  <si>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</si>
  <si>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</si>
  <si>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</si>
  <si>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</si>
  <si>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</si>
  <si>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</si>
  <si>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</si>
  <si>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</si>
  <si>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</si>
  <si>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</si>
  <si>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</si>
  <si>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</si>
  <si>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</si>
  <si>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</si>
  <si>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</si>
  <si>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</si>
  <si>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</si>
  <si>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</si>
  <si>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</si>
  <si>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</si>
  <si>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</si>
  <si>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</si>
  <si>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</si>
  <si>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</si>
  <si>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</si>
  <si>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</si>
  <si>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</si>
  <si>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</si>
  <si>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</si>
  <si>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</si>
  <si>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</si>
  <si>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</si>
  <si>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</si>
  <si>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</si>
  <si>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</si>
  <si>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</si>
  <si>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</si>
  <si>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</si>
  <si>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</si>
  <si>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</si>
  <si>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</si>
  <si>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</si>
  <si>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</si>
  <si>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</si>
  <si>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</si>
  <si>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</si>
  <si>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</si>
  <si>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</si>
  <si>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</si>
  <si>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</si>
  <si>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</si>
  <si>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</si>
  <si>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</si>
  <si>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</si>
  <si>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</si>
  <si>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</si>
  <si>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</si>
  <si>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</si>
  <si>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</si>
  <si>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</si>
  <si>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</si>
  <si>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</si>
  <si>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</si>
  <si>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</si>
  <si>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</si>
  <si>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</si>
  <si>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</si>
  <si>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</si>
  <si>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</si>
  <si>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</si>
  <si>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</si>
  <si>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</si>
  <si>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</si>
  <si>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</si>
  <si>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</si>
  <si>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</si>
  <si>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</si>
  <si>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</si>
  <si>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</si>
  <si>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</si>
  <si>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</si>
  <si>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</si>
  <si>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</si>
  <si>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</si>
  <si>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</si>
  <si>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</si>
  <si>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</si>
  <si>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</si>
  <si>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</si>
  <si>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</si>
  <si>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</si>
  <si>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</si>
  <si>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</si>
  <si>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</si>
  <si>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</si>
  <si>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</si>
  <si>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</si>
  <si>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</si>
  <si>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</si>
  <si>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</si>
  <si>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</si>
  <si>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</si>
  <si>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</si>
  <si>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</si>
  <si>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</si>
  <si>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</si>
  <si>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</si>
  <si>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</si>
  <si>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</si>
  <si>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</si>
  <si>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</si>
  <si>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</si>
  <si>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</si>
  <si>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</si>
  <si>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</si>
  <si>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</si>
  <si>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</si>
  <si>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</si>
  <si>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</si>
  <si>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</si>
  <si>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</si>
  <si>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</si>
  <si>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</si>
  <si>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</si>
  <si>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</si>
  <si>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</si>
  <si>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</si>
  <si>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</si>
  <si>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</si>
  <si>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</si>
  <si>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</si>
  <si>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</si>
  <si>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</si>
  <si>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</si>
  <si>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</si>
  <si>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</si>
  <si>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</si>
  <si>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</si>
  <si>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</si>
  <si>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</si>
  <si>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</si>
  <si>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</si>
  <si>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</si>
  <si>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</si>
  <si>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</si>
  <si>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</si>
  <si>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</si>
  <si>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</si>
  <si>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</si>
  <si>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</si>
  <si>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</si>
  <si>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</si>
  <si>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</si>
  <si>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</si>
  <si>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</si>
  <si>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</si>
  <si>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</si>
  <si>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</si>
  <si>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</si>
  <si>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</si>
  <si>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</si>
  <si>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</si>
  <si>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</si>
  <si>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</si>
  <si>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</si>
  <si>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</si>
  <si>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</si>
  <si>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</si>
  <si>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</si>
  <si>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</si>
  <si>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</si>
  <si>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</si>
  <si>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</si>
  <si>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</si>
  <si>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</si>
  <si>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</si>
  <si>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</si>
  <si>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</si>
  <si>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</si>
  <si>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</si>
  <si>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</si>
  <si>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</si>
  <si>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</si>
  <si>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</si>
  <si>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</si>
  <si>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</si>
  <si>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</si>
  <si>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</si>
  <si>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</si>
  <si>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</si>
  <si>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</si>
  <si>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</si>
  <si>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</si>
  <si>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</si>
  <si>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</si>
  <si>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</si>
  <si>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</si>
  <si>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</si>
  <si>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</si>
  <si>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</si>
  <si>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</si>
  <si>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</si>
  <si>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</si>
  <si>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</si>
  <si>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</si>
  <si>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</si>
  <si>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</si>
  <si>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</si>
  <si>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</si>
  <si>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</si>
  <si>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</si>
  <si>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</si>
  <si>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</si>
  <si>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</si>
  <si>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</si>
  <si>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</si>
  <si>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</si>
  <si>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</si>
  <si>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</si>
  <si>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</si>
  <si>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</si>
  <si>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</si>
  <si>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</si>
  <si>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</si>
  <si>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</si>
  <si>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</si>
  <si>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</si>
  <si>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</si>
  <si>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</si>
  <si>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</si>
  <si>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</si>
  <si>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</si>
  <si>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</si>
  <si>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</si>
  <si>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</si>
  <si>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</si>
  <si>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</si>
  <si>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</si>
  <si>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</si>
  <si>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</si>
  <si>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</si>
  <si>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</si>
  <si>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</si>
  <si>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</si>
  <si>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</si>
  <si>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</si>
  <si>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</si>
  <si>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</si>
  <si>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</si>
  <si>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</si>
  <si>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</si>
  <si>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</si>
  <si>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</si>
  <si>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</si>
  <si>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</si>
  <si>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</si>
  <si>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</si>
  <si>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</si>
  <si>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</si>
  <si>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</si>
  <si>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</si>
  <si>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</si>
  <si>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</si>
  <si>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</si>
  <si>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</si>
  <si>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</si>
  <si>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</si>
  <si>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</si>
  <si>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</si>
  <si>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</si>
  <si>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</si>
  <si>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</si>
  <si>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</si>
  <si>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</si>
  <si>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</si>
  <si>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</si>
  <si>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</si>
  <si>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</si>
  <si>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</si>
  <si>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</si>
  <si>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</si>
  <si>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</si>
  <si>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</si>
  <si>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</si>
  <si>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</si>
  <si>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</si>
  <si>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</si>
  <si>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</si>
  <si>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</si>
  <si>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</si>
  <si>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</si>
  <si>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</si>
  <si>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</si>
  <si>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</si>
  <si>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</si>
  <si>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</si>
  <si>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</si>
  <si>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</si>
  <si>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</si>
  <si>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</si>
  <si>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</si>
  <si>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</si>
  <si>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</si>
  <si>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</si>
  <si>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</si>
  <si>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</si>
  <si>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</si>
  <si>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</si>
  <si>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</si>
  <si>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</si>
  <si>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</si>
  <si>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</si>
  <si>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</si>
  <si>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</si>
  <si>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</si>
  <si>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</si>
  <si>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</si>
  <si>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</si>
  <si>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</si>
  <si>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</si>
  <si>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</si>
  <si>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</si>
  <si>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</si>
  <si>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</si>
  <si>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</si>
  <si>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</si>
  <si>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</si>
  <si>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</si>
  <si>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</si>
  <si>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</si>
  <si>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</si>
  <si>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</si>
  <si>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</si>
  <si>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</si>
  <si>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</si>
  <si>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</si>
  <si>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</si>
  <si>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</si>
  <si>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</si>
  <si>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</si>
  <si>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</si>
  <si>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</si>
  <si>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</si>
  <si>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</si>
  <si>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</si>
  <si>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</si>
  <si>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</si>
  <si>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</si>
  <si>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</si>
  <si>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</si>
  <si>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</si>
  <si>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</si>
  <si>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</si>
  <si>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</si>
  <si>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</si>
  <si>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</si>
  <si>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</si>
  <si>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</si>
  <si>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</si>
  <si>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</si>
  <si>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</si>
  <si>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</si>
  <si>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</si>
  <si>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</si>
  <si>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</si>
  <si>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</si>
  <si>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</si>
  <si>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</si>
  <si>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</si>
  <si>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</si>
  <si>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</si>
  <si>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</si>
  <si>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</si>
  <si>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</si>
  <si>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</si>
  <si>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</si>
  <si>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</si>
  <si>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</si>
  <si>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</si>
  <si>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</si>
  <si>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</si>
  <si>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</si>
  <si>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</si>
  <si>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</si>
  <si>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</si>
  <si>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</si>
  <si>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</si>
  <si>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</si>
  <si>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</si>
  <si>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</si>
  <si>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</si>
  <si>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</si>
  <si>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</si>
  <si>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</si>
  <si>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</si>
  <si>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</si>
  <si>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</si>
  <si>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</si>
  <si>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</si>
  <si>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</si>
  <si>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</si>
  <si>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</si>
  <si>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</si>
  <si>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</si>
  <si>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</si>
  <si>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</si>
  <si>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</si>
  <si>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</si>
  <si>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</si>
  <si>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</si>
  <si>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</si>
  <si>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</si>
  <si>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</si>
  <si>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</si>
  <si>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</si>
  <si>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</si>
  <si>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</si>
  <si>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</si>
  <si>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</si>
  <si>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</si>
  <si>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</si>
  <si>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</si>
  <si>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</si>
  <si>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</si>
  <si>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</si>
  <si>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</si>
  <si>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</si>
  <si>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</si>
  <si>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</si>
  <si>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</si>
  <si>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</si>
  <si>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</si>
  <si>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</si>
  <si>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</si>
  <si>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</si>
  <si>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</si>
  <si>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</si>
  <si>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</si>
  <si>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</si>
  <si>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</si>
  <si>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</si>
  <si>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</si>
  <si>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</si>
  <si>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</si>
  <si>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</si>
  <si>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</si>
  <si>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</si>
  <si>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</si>
  <si>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</si>
  <si>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</si>
  <si>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</si>
  <si>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</si>
  <si>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</si>
  <si>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</si>
  <si>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</si>
  <si>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</si>
  <si>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</si>
  <si>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</si>
  <si>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</si>
  <si>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</si>
  <si>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</si>
  <si>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</si>
  <si>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</si>
  <si>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</si>
  <si>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</si>
  <si>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</si>
  <si>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</si>
  <si>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</si>
  <si>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</si>
  <si>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</si>
  <si>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</si>
  <si>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</si>
  <si>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</si>
  <si>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</si>
  <si>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</si>
  <si>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</si>
  <si>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</si>
  <si>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</si>
  <si>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</si>
  <si>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</si>
  <si>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</si>
  <si>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</si>
  <si>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</si>
  <si>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</si>
  <si>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</si>
  <si>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</si>
  <si>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</si>
  <si>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</si>
  <si>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</si>
  <si>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</si>
  <si>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</si>
  <si>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</si>
  <si>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</si>
  <si>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</si>
  <si>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</si>
  <si>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</si>
  <si>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</si>
  <si>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</si>
  <si>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</si>
  <si>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</si>
  <si>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</si>
  <si>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</si>
  <si>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</si>
  <si>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</si>
  <si>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</si>
  <si>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</si>
  <si>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</si>
  <si>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</si>
  <si>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</si>
  <si>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</si>
  <si>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</si>
  <si>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</si>
  <si>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</si>
  <si>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</si>
  <si>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</si>
  <si>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</si>
  <si>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</si>
  <si>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</si>
  <si>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</si>
  <si>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</si>
  <si>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</si>
  <si>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</si>
  <si>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</si>
  <si>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</si>
  <si>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</si>
  <si>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</si>
  <si>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</si>
  <si>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</si>
  <si>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</si>
  <si>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</si>
  <si>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</si>
  <si>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</si>
  <si>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</si>
  <si>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</si>
  <si>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</si>
  <si>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</si>
  <si>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</si>
  <si>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</si>
  <si>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</si>
  <si>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</si>
  <si>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</si>
  <si>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</si>
  <si>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</si>
  <si>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</si>
  <si>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</si>
  <si>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</si>
  <si>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</si>
  <si>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</si>
  <si>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</si>
  <si>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</si>
  <si>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</si>
  <si>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</si>
  <si>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</si>
  <si>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</si>
  <si>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</si>
  <si>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</si>
  <si>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</si>
  <si>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</si>
  <si>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</si>
  <si>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</si>
  <si>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</si>
  <si>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</si>
  <si>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</si>
  <si>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</si>
  <si>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</si>
  <si>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</si>
  <si>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</si>
  <si>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</si>
  <si>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</si>
  <si>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</si>
  <si>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</si>
  <si>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</si>
  <si>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</si>
  <si>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</si>
  <si>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</si>
  <si>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</si>
  <si>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</si>
  <si>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</si>
  <si>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</si>
  <si>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</si>
  <si>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</si>
  <si>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</si>
  <si>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</si>
  <si>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</si>
  <si>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</si>
  <si>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</si>
  <si>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</si>
  <si>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</si>
  <si>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</si>
  <si>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</si>
  <si>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</si>
  <si>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</si>
  <si>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</si>
  <si>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</si>
  <si>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</si>
  <si>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</si>
  <si>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</si>
  <si>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</si>
  <si>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</si>
  <si>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</si>
  <si>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</si>
  <si>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</si>
  <si>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</si>
  <si>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</si>
  <si>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</si>
  <si>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</si>
  <si>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</si>
  <si>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</si>
  <si>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</si>
  <si>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</si>
  <si>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</si>
  <si>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</si>
  <si>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</si>
  <si>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</si>
  <si>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</si>
  <si>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</si>
  <si>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</si>
  <si>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</si>
  <si>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</si>
  <si>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</si>
  <si>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</si>
  <si>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</si>
  <si>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</si>
  <si>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</si>
  <si>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</si>
  <si>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</si>
  <si>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</si>
  <si>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</si>
  <si>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</si>
  <si>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</si>
  <si>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</si>
  <si>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</si>
  <si>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</si>
  <si>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</si>
  <si>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</si>
  <si>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</si>
  <si>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</si>
  <si>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</si>
  <si>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</si>
  <si>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</si>
  <si>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</si>
  <si>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</si>
  <si>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</si>
  <si>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</si>
  <si>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</si>
  <si>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</si>
  <si>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</si>
  <si>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</si>
  <si>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</si>
  <si>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</si>
  <si>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</si>
  <si>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</si>
  <si>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</si>
  <si>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</si>
  <si>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</si>
  <si>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</si>
  <si>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</si>
  <si>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</si>
  <si>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</si>
  <si>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</si>
  <si>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</si>
  <si>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</si>
  <si>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</si>
  <si>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</si>
  <si>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</si>
  <si>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</si>
  <si>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</si>
  <si>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</si>
  <si>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</si>
  <si>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</si>
  <si>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</si>
  <si>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</si>
  <si>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</si>
  <si>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</si>
  <si>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</si>
  <si>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</si>
  <si>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</si>
  <si>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</si>
  <si>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</si>
  <si>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</si>
  <si>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</si>
  <si>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</si>
  <si>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</si>
  <si>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</si>
  <si>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</si>
  <si>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</si>
  <si>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</si>
  <si>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</si>
  <si>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</si>
  <si>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</si>
  <si>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</si>
  <si>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</si>
  <si>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</si>
  <si>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</si>
  <si>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</si>
  <si>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</si>
  <si>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</si>
  <si>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</si>
  <si>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</si>
  <si>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</si>
  <si>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</si>
  <si>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</si>
  <si>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</si>
  <si>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</si>
  <si>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</si>
  <si>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</si>
  <si>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</si>
  <si>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</si>
  <si>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</si>
  <si>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</si>
  <si>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</si>
  <si>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</si>
  <si>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</si>
  <si>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</si>
  <si>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</si>
  <si>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</si>
  <si>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</si>
  <si>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</si>
  <si>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</si>
  <si>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</si>
  <si>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</si>
  <si>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</si>
  <si>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</si>
  <si>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</si>
  <si>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</si>
  <si>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</si>
  <si>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</si>
  <si>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</si>
  <si>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</si>
  <si>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</si>
  <si>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</si>
  <si>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</si>
  <si>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</si>
  <si>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</si>
  <si>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</si>
  <si>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</si>
  <si>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</si>
  <si>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</si>
  <si>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</si>
  <si>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</si>
  <si>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</si>
  <si>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</si>
  <si>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</si>
  <si>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</si>
  <si>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</si>
  <si>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</si>
  <si>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</si>
  <si>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</si>
  <si>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</si>
  <si>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</si>
  <si>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</si>
  <si>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</si>
  <si>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</si>
  <si>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</si>
  <si>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</si>
  <si>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</si>
  <si>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</si>
  <si>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</si>
  <si>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</si>
  <si>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</si>
  <si>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</si>
  <si>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</si>
  <si>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</si>
  <si>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</si>
  <si>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</si>
  <si>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</si>
  <si>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</si>
  <si>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</si>
  <si>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</si>
  <si>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</si>
  <si>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</si>
  <si>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</si>
  <si>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</si>
  <si>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</si>
  <si>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</si>
  <si>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</si>
  <si>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</si>
  <si>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</si>
  <si>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</si>
  <si>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</si>
  <si>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</si>
  <si>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</si>
  <si>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</si>
  <si>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</si>
  <si>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</si>
  <si>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</si>
  <si>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</si>
  <si>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</si>
  <si>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</si>
  <si>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</si>
  <si>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</si>
  <si>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</si>
  <si>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</si>
  <si>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</si>
  <si>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</si>
  <si>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</si>
  <si>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</si>
  <si>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</si>
  <si>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</si>
  <si>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</si>
  <si>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</si>
  <si>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</si>
  <si>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</si>
  <si>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</si>
  <si>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</si>
  <si>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</si>
  <si>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</si>
  <si>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</si>
  <si>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</si>
  <si>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</si>
  <si>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</si>
  <si>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</si>
  <si>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</si>
  <si>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</si>
  <si>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</si>
  <si>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</si>
  <si>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</si>
  <si>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</si>
  <si>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</si>
  <si>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</si>
  <si>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</si>
  <si>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</si>
  <si>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</si>
  <si>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</si>
  <si>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</si>
  <si>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</si>
  <si>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</si>
  <si>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</si>
  <si>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</si>
  <si>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</si>
  <si>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</si>
  <si>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</si>
  <si>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</si>
  <si>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</si>
  <si>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</si>
  <si>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</si>
  <si>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</si>
  <si>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</si>
  <si>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</si>
  <si>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</si>
  <si>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</si>
  <si>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</si>
  <si>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</si>
  <si>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</si>
  <si>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</si>
  <si>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</si>
  <si>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</si>
  <si>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</si>
  <si>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</si>
  <si>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</si>
  <si>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</si>
  <si>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</si>
  <si>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</si>
  <si>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</si>
  <si>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</si>
  <si>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</si>
  <si>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</si>
  <si>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</si>
  <si>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</si>
  <si>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</si>
  <si>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</si>
  <si>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</si>
  <si>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</si>
  <si>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</si>
  <si>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</si>
  <si>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</si>
  <si>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</si>
  <si>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</si>
  <si>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</si>
  <si>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</si>
  <si>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</si>
  <si>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</si>
  <si>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</si>
  <si>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</si>
  <si>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</si>
  <si>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</si>
  <si>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</si>
  <si>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</si>
  <si>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</si>
  <si>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</si>
  <si>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</si>
  <si>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</si>
  <si>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</si>
  <si>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</si>
  <si>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</si>
  <si>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</si>
  <si>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</si>
  <si>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</si>
  <si>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</si>
  <si>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</si>
  <si>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</si>
  <si>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</si>
  <si>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</si>
  <si>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</si>
  <si>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</si>
  <si>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</si>
  <si>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</si>
  <si>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</si>
  <si>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</si>
  <si>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</si>
  <si>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</si>
  <si>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</si>
  <si>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</si>
  <si>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</si>
  <si>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</si>
  <si>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</si>
  <si>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</si>
  <si>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</si>
  <si>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</si>
  <si>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</si>
  <si>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</si>
  <si>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</si>
  <si>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</si>
  <si>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</si>
  <si>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</si>
  <si>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</si>
  <si>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</si>
  <si>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</si>
  <si>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</si>
  <si>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</si>
  <si>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</si>
  <si>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</si>
  <si>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</si>
  <si>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</si>
  <si>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</si>
  <si>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</si>
  <si>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</si>
  <si>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</si>
  <si>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</si>
  <si>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</si>
  <si>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</si>
  <si>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</si>
  <si>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</si>
  <si>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</si>
  <si>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</si>
  <si>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</si>
  <si>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</si>
  <si>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</si>
  <si>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</si>
  <si>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</si>
  <si>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</si>
  <si>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</si>
  <si>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</si>
  <si>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</si>
  <si>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</si>
  <si>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</si>
  <si>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</si>
  <si>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</si>
  <si>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</si>
  <si>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</si>
  <si>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</si>
  <si>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</si>
  <si>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</si>
  <si>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</si>
  <si>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</si>
  <si>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</si>
  <si>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</si>
  <si>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</si>
  <si>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</si>
  <si>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</si>
  <si>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</si>
  <si>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</si>
  <si>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</si>
  <si>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</si>
  <si>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</si>
  <si>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</si>
  <si>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</si>
  <si>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</si>
  <si>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</si>
  <si>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</si>
  <si>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</si>
  <si>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</si>
  <si>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</si>
  <si>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</si>
  <si>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</si>
  <si>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</si>
  <si>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</si>
  <si>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</si>
  <si>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</si>
  <si>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</si>
  <si>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</si>
  <si>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</si>
  <si>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</si>
  <si>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</si>
  <si>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</si>
  <si>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</si>
  <si>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</si>
  <si>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</si>
  <si>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</si>
  <si>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</si>
  <si>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</si>
  <si>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</si>
  <si>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</si>
  <si>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</si>
  <si>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</si>
  <si>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</si>
  <si>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</si>
  <si>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</si>
  <si>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</si>
  <si>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</si>
  <si>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</si>
  <si>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</si>
  <si>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</si>
  <si>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</si>
  <si>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</si>
  <si>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</si>
  <si>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</si>
  <si>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</si>
  <si>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</si>
  <si>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</si>
  <si>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</si>
  <si>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</si>
  <si>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</si>
  <si>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</si>
  <si>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</si>
  <si>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</si>
  <si>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</si>
  <si>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</si>
  <si>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</si>
  <si>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</si>
  <si>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</si>
  <si>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</si>
  <si>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</si>
  <si>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</si>
  <si>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</si>
  <si>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</si>
  <si>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</si>
  <si>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</si>
  <si>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</si>
  <si>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</si>
  <si>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</si>
  <si>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</si>
  <si>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</si>
  <si>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</si>
  <si>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</si>
  <si>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</si>
  <si>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</si>
  <si>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</si>
  <si>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</si>
  <si>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</si>
  <si>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</si>
  <si>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</si>
  <si>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</si>
  <si>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</si>
  <si>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</si>
  <si>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</si>
  <si>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</si>
  <si>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</si>
  <si>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</si>
  <si>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</si>
  <si>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</si>
  <si>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</si>
  <si>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</si>
  <si>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</si>
  <si>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</si>
  <si>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</si>
  <si>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</si>
  <si>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</si>
  <si>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</si>
  <si>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</si>
  <si>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</si>
  <si>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</si>
  <si>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</si>
  <si>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</si>
  <si>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</si>
  <si>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</si>
  <si>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</si>
  <si>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</si>
  <si>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</si>
  <si>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</si>
  <si>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</si>
  <si>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</si>
  <si>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</si>
  <si>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</si>
  <si>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</si>
  <si>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</si>
  <si>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</si>
  <si>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</si>
  <si>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</si>
  <si>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</si>
  <si>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</si>
  <si>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</si>
  <si>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</si>
  <si>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</si>
  <si>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</si>
  <si>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</si>
  <si>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</si>
  <si>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</si>
  <si>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</si>
  <si>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</si>
  <si>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</si>
  <si>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</si>
  <si>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</si>
  <si>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</si>
  <si>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</si>
  <si>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</si>
  <si>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</si>
  <si>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</si>
  <si>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</si>
  <si>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</si>
  <si>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</si>
  <si>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</si>
  <si>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</si>
  <si>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</si>
  <si>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</si>
  <si>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</si>
  <si>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</si>
  <si>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</si>
  <si>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</si>
  <si>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</si>
  <si>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</si>
  <si>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</si>
  <si>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</si>
  <si>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</si>
  <si>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</si>
  <si>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</si>
  <si>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</si>
  <si>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</si>
  <si>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</si>
  <si>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</si>
  <si>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</si>
  <si>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</si>
  <si>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</si>
  <si>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</si>
  <si>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</si>
  <si>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</si>
  <si>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</si>
  <si>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</si>
  <si>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</si>
  <si>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</si>
  <si>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</si>
  <si>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</si>
  <si>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</si>
  <si>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</si>
  <si>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</si>
  <si>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</si>
  <si>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</si>
  <si>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</si>
  <si>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</si>
  <si>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</si>
  <si>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</si>
  <si>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</si>
  <si>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</si>
  <si>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</si>
  <si>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</si>
  <si>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</si>
  <si>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</si>
  <si>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</si>
  <si>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</si>
  <si>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</si>
  <si>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</si>
  <si>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</si>
  <si>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</si>
  <si>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</si>
  <si>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</si>
  <si>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</si>
  <si>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</si>
  <si>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</si>
  <si>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</si>
  <si>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</si>
  <si>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</si>
  <si>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</si>
  <si>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</si>
  <si>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</si>
  <si>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</si>
  <si>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</si>
  <si>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</si>
  <si>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</si>
  <si>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</si>
  <si>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</si>
  <si>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</si>
  <si>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</si>
  <si>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</si>
  <si>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</si>
  <si>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</si>
  <si>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</si>
  <si>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</si>
  <si>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</si>
  <si>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</si>
  <si>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</si>
  <si>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</si>
  <si>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</si>
  <si>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</si>
  <si>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</si>
  <si>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</si>
  <si>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</si>
  <si>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</si>
  <si>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</si>
  <si>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</si>
  <si>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</si>
  <si>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</si>
  <si>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</si>
  <si>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</si>
  <si>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</si>
  <si>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</si>
  <si>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</si>
  <si>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</si>
  <si>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</si>
  <si>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</si>
  <si>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</si>
  <si>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</si>
  <si>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</si>
  <si>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</si>
  <si>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</si>
  <si>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</si>
  <si>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</si>
  <si>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</si>
  <si>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</si>
  <si>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</si>
  <si>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</si>
  <si>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</si>
  <si>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</si>
  <si>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</si>
  <si>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</si>
  <si>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</si>
  <si>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</si>
  <si>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</si>
  <si>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</si>
  <si>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</si>
  <si>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</si>
  <si>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</si>
  <si>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</si>
  <si>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</si>
  <si>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</si>
  <si>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</si>
  <si>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</si>
  <si>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</si>
  <si>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</si>
  <si>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</si>
  <si>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</si>
  <si>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</si>
  <si>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</si>
  <si>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</si>
  <si>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</si>
  <si>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</si>
  <si>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</si>
  <si>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</si>
  <si>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</si>
  <si>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</si>
  <si>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</si>
  <si>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</si>
  <si>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</si>
  <si>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</si>
  <si>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</si>
  <si>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</si>
  <si>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</si>
  <si>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</si>
  <si>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</si>
  <si>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</si>
  <si>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</si>
  <si>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</si>
  <si>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</si>
  <si>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</si>
  <si>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</si>
  <si>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</si>
  <si>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</si>
  <si>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</si>
  <si>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</si>
  <si>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</si>
  <si>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</si>
  <si>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</si>
  <si>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</si>
  <si>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</si>
  <si>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</si>
  <si>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</si>
  <si>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</si>
  <si>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</si>
  <si>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</si>
  <si>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</si>
  <si>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</si>
  <si>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</si>
  <si>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</si>
  <si>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</si>
  <si>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</si>
  <si>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</si>
  <si>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</si>
  <si>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</si>
  <si>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</si>
  <si>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</si>
  <si>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</si>
  <si>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</si>
  <si>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</si>
  <si>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</si>
  <si>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</si>
  <si>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</si>
  <si>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</si>
  <si>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</si>
  <si>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</si>
  <si>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</si>
  <si>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</si>
  <si>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</si>
  <si>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</si>
  <si>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</si>
  <si>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</si>
  <si>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</si>
  <si>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</si>
  <si>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</si>
  <si>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</si>
  <si>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</si>
  <si>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</si>
  <si>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</si>
  <si>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</si>
  <si>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</si>
  <si>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</si>
  <si>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</si>
  <si>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</si>
  <si>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</si>
  <si>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</si>
  <si>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</si>
  <si>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</si>
  <si>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</si>
  <si>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</si>
  <si>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</si>
  <si>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</si>
  <si>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</si>
  <si>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</si>
  <si>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</si>
  <si>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</si>
  <si>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</si>
  <si>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</si>
  <si>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</si>
  <si>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</si>
  <si>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</si>
  <si>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</si>
  <si>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</si>
  <si>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</si>
  <si>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</si>
  <si>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</si>
  <si>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</si>
  <si>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</si>
  <si>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</si>
  <si>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</si>
  <si>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</si>
  <si>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</si>
  <si>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</si>
  <si>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</si>
  <si>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</si>
  <si>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</si>
  <si>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</si>
  <si>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</si>
  <si>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</si>
  <si>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</si>
  <si>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</si>
  <si>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</si>
  <si>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</si>
  <si>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</si>
  <si>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</si>
  <si>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</si>
  <si>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</si>
  <si>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</si>
  <si>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</si>
  <si>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</si>
  <si>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</si>
  <si>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</si>
  <si>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</si>
  <si>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</si>
  <si>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</si>
  <si>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</si>
  <si>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</si>
  <si>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</si>
  <si>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</si>
  <si>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</si>
  <si>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</si>
  <si>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</si>
  <si>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</si>
  <si>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</si>
  <si>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</si>
  <si>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</si>
  <si>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</si>
  <si>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</si>
  <si>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</si>
  <si>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</si>
  <si>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</si>
  <si>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</si>
  <si>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</si>
  <si>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</si>
  <si>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</si>
  <si>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</si>
  <si>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</si>
  <si>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</si>
  <si>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</si>
  <si>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</si>
  <si>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</si>
  <si>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</si>
  <si>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</si>
  <si>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</si>
  <si>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</si>
  <si>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</si>
  <si>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</si>
  <si>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</si>
  <si>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</si>
  <si>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</si>
  <si>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</si>
  <si>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</si>
  <si>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</si>
  <si>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</si>
  <si>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</si>
  <si>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</si>
  <si>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</si>
  <si>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</si>
  <si>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</si>
  <si>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</si>
  <si>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</si>
  <si>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</si>
  <si>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</si>
  <si>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</si>
  <si>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</si>
  <si>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</si>
  <si>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</si>
  <si>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</si>
  <si>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</si>
  <si>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</si>
  <si>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</si>
  <si>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</si>
  <si>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</si>
  <si>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</si>
  <si>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</si>
  <si>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</si>
  <si>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</si>
  <si>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</si>
  <si>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</si>
  <si>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</si>
  <si>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</si>
  <si>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</si>
  <si>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</si>
  <si>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</si>
  <si>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</si>
  <si>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</si>
  <si>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</si>
  <si>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</si>
  <si>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</si>
  <si>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</si>
  <si>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</si>
  <si>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</si>
  <si>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</si>
  <si>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</si>
  <si>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</si>
  <si>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</si>
  <si>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</si>
  <si>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</si>
  <si>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</si>
  <si>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</si>
  <si>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</si>
  <si>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</si>
  <si>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</si>
  <si>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</si>
  <si>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</si>
  <si>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</si>
  <si>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</si>
  <si>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</si>
  <si>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</si>
  <si>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</si>
  <si>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</si>
  <si>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</si>
  <si>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</si>
  <si>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</si>
  <si>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</si>
  <si>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</si>
  <si>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</si>
  <si>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</si>
  <si>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</si>
  <si>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</si>
  <si>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</si>
  <si>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</si>
  <si>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</si>
  <si>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</si>
  <si>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</si>
  <si>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</si>
  <si>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</si>
  <si>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</si>
  <si>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</si>
  <si>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</si>
  <si>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</si>
  <si>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</si>
  <si>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</si>
  <si>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</si>
  <si>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</si>
  <si>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</si>
  <si>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</si>
  <si>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</si>
  <si>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</si>
  <si>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</si>
  <si>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</si>
  <si>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</si>
  <si>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</si>
  <si>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</si>
  <si>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</si>
  <si>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</si>
  <si>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</si>
  <si>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</si>
  <si>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</si>
  <si>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</si>
  <si>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</si>
  <si>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</si>
  <si>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</si>
  <si>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</si>
  <si>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</si>
  <si>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</si>
  <si>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</si>
  <si>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</si>
  <si>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</si>
  <si>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</si>
  <si>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</si>
  <si>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</si>
  <si>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</si>
  <si>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</si>
  <si>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</si>
  <si>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</si>
  <si>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</si>
  <si>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</si>
  <si>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</si>
  <si>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</si>
  <si>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</si>
  <si>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</si>
  <si>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</si>
  <si>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</si>
  <si>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</si>
  <si>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</si>
  <si>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</si>
  <si>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</si>
  <si>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</si>
  <si>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</si>
  <si>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</si>
  <si>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</si>
  <si>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</si>
  <si>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</si>
  <si>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</si>
  <si>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</si>
  <si>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</si>
  <si>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</si>
  <si>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</si>
  <si>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</si>
  <si>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</si>
  <si>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</si>
  <si>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</si>
  <si>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</si>
  <si>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</si>
  <si>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</si>
  <si>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</si>
  <si>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</si>
  <si>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</si>
  <si>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</si>
  <si>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</si>
  <si>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</si>
  <si>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</si>
  <si>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</si>
  <si>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</si>
  <si>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</si>
  <si>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</si>
  <si>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</si>
  <si>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</si>
  <si>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</si>
  <si>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</si>
  <si>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</si>
  <si>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</si>
  <si>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</si>
  <si>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</si>
  <si>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</si>
  <si>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</si>
  <si>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</si>
  <si>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</si>
  <si>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</si>
  <si>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</si>
  <si>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</si>
  <si>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</si>
  <si>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</si>
  <si>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</si>
  <si>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</si>
  <si>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</si>
  <si>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</si>
  <si>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</si>
  <si>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</si>
  <si>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</si>
  <si>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</si>
  <si>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</si>
  <si>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</si>
  <si>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</si>
  <si>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</si>
  <si>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</si>
  <si>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</si>
  <si>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</si>
  <si>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</si>
  <si>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</si>
  <si>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</si>
  <si>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</si>
  <si>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</si>
  <si>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</si>
  <si>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</si>
  <si>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</si>
  <si>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</si>
  <si>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</si>
  <si>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</si>
  <si>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</si>
  <si>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</si>
  <si>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</si>
  <si>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</si>
  <si>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</si>
  <si>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</si>
  <si>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</si>
  <si>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</si>
  <si>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</si>
  <si>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</si>
  <si>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</si>
  <si>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</si>
  <si>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</si>
  <si>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</si>
  <si>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</si>
  <si>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</si>
  <si>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</si>
  <si>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</si>
  <si>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</si>
  <si>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</si>
  <si>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</si>
  <si>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</si>
  <si>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</si>
  <si>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</si>
  <si>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</si>
  <si>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</si>
  <si>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</si>
  <si>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</si>
  <si>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</si>
  <si>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</si>
  <si>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</si>
  <si>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</si>
  <si>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</si>
  <si>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</si>
  <si>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</si>
  <si>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</si>
  <si>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</si>
  <si>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</si>
  <si>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</si>
  <si>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</si>
  <si>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</si>
  <si>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</si>
  <si>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</si>
  <si>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</si>
  <si>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</si>
  <si>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</si>
  <si>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</si>
  <si>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</si>
  <si>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</si>
  <si>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</si>
  <si>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</si>
  <si>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</si>
  <si>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</si>
  <si>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</si>
  <si>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</si>
  <si>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</si>
  <si>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</si>
  <si>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</si>
  <si>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</si>
  <si>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</si>
  <si>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</si>
  <si>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</si>
  <si>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</si>
  <si>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</si>
  <si>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</si>
  <si>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</si>
  <si>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</si>
  <si>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</si>
  <si>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</si>
  <si>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</si>
  <si>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</si>
  <si>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</si>
  <si>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</si>
  <si>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</si>
  <si>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</si>
  <si>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</si>
  <si>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</si>
  <si>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</si>
  <si>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</si>
  <si>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</si>
  <si>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</si>
  <si>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</si>
  <si>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</si>
  <si>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</si>
  <si>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</si>
  <si>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</si>
  <si>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</si>
  <si>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</si>
  <si>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</si>
  <si>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</si>
  <si>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</si>
  <si>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</si>
  <si>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</si>
  <si>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</si>
  <si>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</si>
  <si>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</si>
  <si>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</si>
  <si>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</si>
  <si>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</si>
  <si>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</si>
  <si>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</si>
  <si>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</si>
  <si>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</si>
  <si>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</si>
  <si>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</si>
  <si>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</si>
  <si>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</si>
  <si>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</si>
  <si>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</si>
  <si>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</si>
  <si>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</si>
  <si>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</si>
  <si>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</si>
  <si>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</si>
  <si>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</si>
  <si>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</si>
  <si>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</si>
  <si>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</si>
  <si>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</si>
  <si>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</si>
  <si>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</si>
  <si>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</si>
  <si>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</si>
  <si>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</si>
  <si>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</si>
  <si>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</si>
  <si>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</si>
  <si>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</si>
  <si>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</si>
  <si>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</si>
  <si>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</si>
  <si>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</si>
  <si>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</si>
  <si>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</si>
  <si>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</si>
  <si>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</si>
  <si>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</si>
  <si>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</si>
  <si>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</si>
  <si>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MILL-MAX MFG. CORP.</t>
  </si>
  <si>
    <t>06-593-9902</t>
  </si>
  <si>
    <t>DUNS</t>
  </si>
  <si>
    <t>190 PINE HOLLOW RD. OYSTER BAY, NY 11771</t>
  </si>
  <si>
    <t>C.GALASSO</t>
  </si>
  <si>
    <t>CGALASSO@MILL-MAX.COM</t>
  </si>
  <si>
    <t>(516) 922-6000</t>
  </si>
  <si>
    <t>DIRECTOR OF QUALITY ASSURANCE</t>
  </si>
  <si>
    <t>C.GALASSO@MILL-MAX.COM</t>
  </si>
  <si>
    <t>100%</t>
  </si>
  <si>
    <t>CMRT or Authorized letter</t>
  </si>
  <si>
    <t>www.mill-max.com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</si>
</sst>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CGALASSO@MILL-MAX.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mill-max.com/" TargetMode="External"/><Relationship Id="rId4" Type="http://schemas.openxmlformats.org/officeDocument/2006/relationships/hyperlink" Target="mailto:C.GALASSO@MILL-MAX.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56.2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13.7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C235BD67-3494-49FF-BDB5-47212083C2BD}"/>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EF2A3507-EF9A-4BB2-A328-4438234CEB3C}"/>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G78" sqref="G78"/>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t="s">
        <v>15880</v>
      </c>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t="s">
        <v>15881</v>
      </c>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t="s">
        <v>15882</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15883</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6" t="s">
        <v>15884</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15885</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4" t="s">
        <v>15883</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15886</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6" t="s">
        <v>15887</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t="s">
        <v>15885</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46265</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27" t="s">
        <v>474</v>
      </c>
      <c r="E26" s="328"/>
      <c r="F26" s="11"/>
      <c r="G26" s="335"/>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327" t="s">
        <v>474</v>
      </c>
      <c r="E29" s="328"/>
      <c r="F29" s="11"/>
      <c r="G29" s="335"/>
      <c r="H29" s="336"/>
      <c r="I29" s="336"/>
      <c r="J29" s="337"/>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327"/>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5"/>
      <c r="I37" s="375"/>
      <c r="J37" s="375"/>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474</v>
      </c>
      <c r="E39" s="328"/>
      <c r="F39" s="44"/>
      <c r="G39" s="335"/>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474</v>
      </c>
      <c r="E40" s="328"/>
      <c r="F40" s="44"/>
      <c r="G40" s="335"/>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327"/>
      <c r="E41" s="328"/>
      <c r="F41" s="44"/>
      <c r="G41" s="335"/>
      <c r="H41" s="336"/>
      <c r="I41" s="336"/>
      <c r="J41" s="337"/>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474</v>
      </c>
      <c r="E45" s="328"/>
      <c r="F45" s="44"/>
      <c r="G45" s="335"/>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474</v>
      </c>
      <c r="E46" s="328"/>
      <c r="F46" s="44"/>
      <c r="G46" s="335"/>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7"/>
      <c r="E47" s="328"/>
      <c r="F47" s="44"/>
      <c r="G47" s="335"/>
      <c r="H47" s="336"/>
      <c r="I47" s="336"/>
      <c r="J47" s="33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327"/>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69"/>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69" t="s">
        <v>15888</v>
      </c>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69" t="s">
        <v>15888</v>
      </c>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69"/>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473</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473</v>
      </c>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327"/>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327"/>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15890</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11949</v>
      </c>
      <c r="E83" s="328"/>
      <c r="F83" s="54"/>
      <c r="G83" s="335" t="s">
        <v>15889</v>
      </c>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7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
      </c>
    </row>
    <row r="103" spans="2:7" ht="15.75" hidden="1">
      <c r="B103" s="219" t="s">
        <v>2373</v>
      </c>
      <c r="D103" s="264" t="str">
        <f>IF(AND(OR($D$28="Yes",$D$28=""),OR($D$34="Yes",$D$34="")),"No","")</f>
        <v>No</v>
      </c>
      <c r="E103" s="264" t="str">
        <f>IF(AND(OR($D$27="Yes",$D$27=""),OR($D$33="Yes",$D$33="")),"Greater than 90%","")</f>
        <v>Greater than 90%</v>
      </c>
      <c r="G103" s="264" t="str">
        <f>IF(OR($D$29="Yes",$D$29=""),"No","")</f>
        <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CF2991A7-E7E9-4C83-B02A-727983EF1360}"/>
    <hyperlink ref="D20" r:id="rId4" xr:uid="{92F24BD5-5B65-4126-B08E-D5A151FE9474}"/>
    <hyperlink ref="G77" r:id="rId5" xr:uid="{A2890881-25F9-48E2-BCAB-107C3D23BEFC}"/>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4" zoomScaleNormal="100" zoomScalePageLayoutView="55" workbookViewId="0">
      <selection activeCell="D20" sqref="D20"/>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663</v>
      </c>
      <c r="B5" s="166" t="s">
        <v>1087</v>
      </c>
      <c r="C5" s="170" t="s">
        <v>2183</v>
      </c>
      <c r="D5" s="213"/>
      <c r="E5" s="166" t="s">
        <v>1055</v>
      </c>
      <c r="F5" s="166" t="s">
        <v>663</v>
      </c>
      <c r="G5" s="166" t="s">
        <v>12764</v>
      </c>
      <c r="H5" s="167">
        <v>0</v>
      </c>
      <c r="I5" s="168" t="s">
        <v>1548</v>
      </c>
      <c r="J5" s="168" t="s">
        <v>1549</v>
      </c>
      <c r="K5" s="207"/>
      <c r="L5" s="207"/>
      <c r="M5" s="207"/>
      <c r="N5" s="207"/>
      <c r="O5" s="207"/>
      <c r="P5" s="169"/>
      <c r="Q5" s="208"/>
      <c r="R5" s="166" t="str">
        <f ca="1">IF(ISERROR($V5),"",OFFSET('Smelter Look-up'!$C$4,$V5-4,0)&amp;"")</f>
        <v>Asahi Refining Canada Ltd.</v>
      </c>
      <c r="S5" s="165" t="str">
        <f ca="1">IF(B5="","",IF(ISERROR(MATCH($E5,CL,0)),"Unknown",INDIRECT("'C'!$A$"&amp;MATCH($E5,CL,0)+1)))</f>
        <v>CA</v>
      </c>
      <c r="T5" s="165" t="str">
        <f ca="1">IF(B5="","",IF(ISERROR(MATCH($J5,SorP!$B$1:$B$6261,0)),"",INDIRECT("'SorP'!$A$"&amp;MATCH($S5&amp;$J5,SorP!C:C,0))))</f>
        <v>CA-ON</v>
      </c>
      <c r="U5" s="185"/>
      <c r="V5" s="209">
        <f>IF(C5="",NA(),IF(OR(C5="Smelter not listed",C5="Smelter not yet identified"),MATCH($B5&amp;$D5,'Smelter Look-up'!$J:$J,0),MATCH($B5&amp;$C5,'Smelter Look-up'!$J:$J,0)))</f>
        <v>34</v>
      </c>
      <c r="X5" s="210">
        <f t="shared" ref="X5" si="0">IF(AND(C5="Smelter not listed",OR(LEN(D5)=0,LEN(E5)=0)),1,0)</f>
        <v>0</v>
      </c>
      <c r="AB5" s="211" t="str">
        <f t="shared" ref="AB5" si="1">B5&amp;C5</f>
        <v>GoldAsahi Refining Canada Ltd.</v>
      </c>
    </row>
    <row r="6" spans="1:34" s="210" customFormat="1" ht="20.100000000000001" customHeight="1">
      <c r="A6" s="245" t="s">
        <v>653</v>
      </c>
      <c r="B6" s="166" t="s">
        <v>1087</v>
      </c>
      <c r="C6" s="170" t="s">
        <v>2390</v>
      </c>
      <c r="D6" s="213"/>
      <c r="E6" s="166" t="s">
        <v>1058</v>
      </c>
      <c r="F6" s="166" t="s">
        <v>653</v>
      </c>
      <c r="G6" s="166" t="s">
        <v>12764</v>
      </c>
      <c r="H6" s="167">
        <v>0</v>
      </c>
      <c r="I6" s="168" t="s">
        <v>1536</v>
      </c>
      <c r="J6" s="168" t="s">
        <v>15158</v>
      </c>
      <c r="K6" s="207"/>
      <c r="L6" s="207"/>
      <c r="M6" s="207"/>
      <c r="N6" s="207"/>
      <c r="O6" s="207"/>
      <c r="P6" s="169"/>
      <c r="Q6" s="208"/>
      <c r="R6" s="166" t="str">
        <f ca="1">IF(ISERROR($V6),"",OFFSET('Smelter Look-up'!$C$4,$V6-4,0)&amp;"")</f>
        <v>Heraeus Metals Hong Kong Ltd.</v>
      </c>
      <c r="S6" s="165" t="str">
        <f t="shared" ref="S6:S37" ca="1" si="2">IF(B6="","",IF(ISERROR(MATCH($E6,CL,0)),"Unknown",INDIRECT("'C'!$A$"&amp;MATCH($E6,CL,0)+1)))</f>
        <v>CN</v>
      </c>
      <c r="T6" s="165" t="str">
        <f ca="1">IF(B6="","",IF(ISERROR(MATCH($J6,SorP!$B$1:$B$6261,0)),"",INDIRECT("'SorP'!$A$"&amp;MATCH($S6&amp;$J6,SorP!C:C,0))))</f>
        <v/>
      </c>
      <c r="U6" s="185"/>
      <c r="V6" s="209">
        <f>IF(C6="",NA(),IF(OR(C6="Smelter not listed",C6="Smelter not yet identified"),MATCH($B6&amp;$D6,'Smelter Look-up'!$J:$J,0),MATCH($B6&amp;$C6,'Smelter Look-up'!$J:$J,0)))</f>
        <v>123</v>
      </c>
      <c r="X6" s="210">
        <f t="shared" ref="X6:X37" si="3">IF(AND(C6="Smelter not listed",OR(LEN(D6)=0,LEN(E6)=0)),1,0)</f>
        <v>0</v>
      </c>
      <c r="AB6" s="211" t="str">
        <f t="shared" ref="AB6:AB37" si="4">B6&amp;C6</f>
        <v>GoldHeraeus Metals Hong Kong Ltd.</v>
      </c>
    </row>
    <row r="7" spans="1:34" s="210" customFormat="1" ht="20.100000000000001" customHeight="1">
      <c r="A7" s="245" t="s">
        <v>680</v>
      </c>
      <c r="B7" s="166" t="s">
        <v>1087</v>
      </c>
      <c r="C7" s="170" t="s">
        <v>1183</v>
      </c>
      <c r="D7" s="213"/>
      <c r="E7" s="166" t="s">
        <v>2323</v>
      </c>
      <c r="F7" s="166" t="s">
        <v>680</v>
      </c>
      <c r="G7" s="166" t="s">
        <v>12764</v>
      </c>
      <c r="H7" s="167">
        <v>0</v>
      </c>
      <c r="I7" s="168" t="s">
        <v>1565</v>
      </c>
      <c r="J7" s="168" t="s">
        <v>1566</v>
      </c>
      <c r="K7" s="207"/>
      <c r="L7" s="207"/>
      <c r="M7" s="207"/>
      <c r="N7" s="207"/>
      <c r="O7" s="207"/>
      <c r="P7" s="169"/>
      <c r="Q7" s="208"/>
      <c r="R7" s="166" t="str">
        <f ca="1">IF(ISERROR($V7),"",OFFSET('Smelter Look-up'!$C$4,$V7-4,0)&amp;"")</f>
        <v>Metalor USA Refining Corporation</v>
      </c>
      <c r="S7" s="165" t="str">
        <f t="shared" ca="1" si="2"/>
        <v>US</v>
      </c>
      <c r="T7" s="165" t="str">
        <f ca="1">IF(B7="","",IF(ISERROR(MATCH($J7,SorP!$B$1:$B$6261,0)),"",INDIRECT("'SorP'!$A$"&amp;MATCH($S7&amp;$J7,SorP!C:C,0))))</f>
        <v>US-MA</v>
      </c>
      <c r="U7" s="185"/>
      <c r="V7" s="209">
        <f>IF(C7="",NA(),IF(OR(C7="Smelter not listed",C7="Smelter not yet identified"),MATCH($B7&amp;$D7,'Smelter Look-up'!$J:$J,0),MATCH($B7&amp;$C7,'Smelter Look-up'!$J:$J,0)))</f>
        <v>197</v>
      </c>
      <c r="X7" s="210">
        <f t="shared" si="3"/>
        <v>0</v>
      </c>
      <c r="AB7" s="211" t="str">
        <f t="shared" si="4"/>
        <v>GoldMetalor USA Refining Corporation</v>
      </c>
    </row>
    <row r="8" spans="1:34" s="210" customFormat="1" ht="20.100000000000001" customHeight="1">
      <c r="A8" s="245" t="s">
        <v>681</v>
      </c>
      <c r="B8" s="166" t="s">
        <v>1087</v>
      </c>
      <c r="C8" s="170" t="s">
        <v>11980</v>
      </c>
      <c r="D8" s="213"/>
      <c r="E8" s="166" t="s">
        <v>1071</v>
      </c>
      <c r="F8" s="166" t="s">
        <v>681</v>
      </c>
      <c r="G8" s="166" t="s">
        <v>12764</v>
      </c>
      <c r="H8" s="167">
        <v>0</v>
      </c>
      <c r="I8" s="168" t="s">
        <v>1567</v>
      </c>
      <c r="J8" s="168" t="s">
        <v>12427</v>
      </c>
      <c r="K8" s="207"/>
      <c r="L8" s="207"/>
      <c r="M8" s="207"/>
      <c r="N8" s="207"/>
      <c r="O8" s="207"/>
      <c r="P8" s="169"/>
      <c r="Q8" s="208"/>
      <c r="R8" s="166" t="str">
        <f ca="1">IF(ISERROR($V8),"",OFFSET('Smelter Look-up'!$C$4,$V8-4,0)&amp;"")</f>
        <v>Metalurgica Met-Mex Penoles S.A. De C.V.</v>
      </c>
      <c r="S8" s="165" t="str">
        <f t="shared" ca="1" si="2"/>
        <v>MX</v>
      </c>
      <c r="T8" s="165" t="str">
        <f ca="1">IF(B8="","",IF(ISERROR(MATCH($J8,SorP!$B$1:$B$6261,0)),"",INDIRECT("'SorP'!$A$"&amp;MATCH($S8&amp;$J8,SorP!C:C,0))))</f>
        <v>MX-COA</v>
      </c>
      <c r="U8" s="185"/>
      <c r="V8" s="209">
        <f>IF(C8="",NA(),IF(OR(C8="Smelter not listed",C8="Smelter not yet identified"),MATCH($B8&amp;$D8,'Smelter Look-up'!$J:$J,0),MATCH($B8&amp;$C8,'Smelter Look-up'!$J:$J,0)))</f>
        <v>198</v>
      </c>
      <c r="X8" s="210">
        <f t="shared" si="3"/>
        <v>0</v>
      </c>
      <c r="AB8" s="211" t="str">
        <f t="shared" si="4"/>
        <v>GoldMetalurgica Met-Mex Penoles S.A. De C.V.</v>
      </c>
    </row>
    <row r="9" spans="1:34" s="210" customFormat="1" ht="20.100000000000001" customHeight="1">
      <c r="A9" s="245" t="s">
        <v>696</v>
      </c>
      <c r="B9" s="166" t="s">
        <v>1087</v>
      </c>
      <c r="C9" s="170" t="s">
        <v>873</v>
      </c>
      <c r="D9" s="213"/>
      <c r="E9" s="166" t="s">
        <v>1055</v>
      </c>
      <c r="F9" s="166" t="s">
        <v>696</v>
      </c>
      <c r="G9" s="166" t="s">
        <v>12764</v>
      </c>
      <c r="H9" s="167">
        <v>0</v>
      </c>
      <c r="I9" s="168" t="s">
        <v>1585</v>
      </c>
      <c r="J9" s="168" t="s">
        <v>1549</v>
      </c>
      <c r="K9" s="207"/>
      <c r="L9" s="207"/>
      <c r="M9" s="207"/>
      <c r="N9" s="207"/>
      <c r="O9" s="207"/>
      <c r="P9" s="169"/>
      <c r="Q9" s="208"/>
      <c r="R9" s="166" t="str">
        <f ca="1">IF(ISERROR($V9),"",OFFSET('Smelter Look-up'!$C$4,$V9-4,0)&amp;"")</f>
        <v>Royal Canadian Mint</v>
      </c>
      <c r="S9" s="165" t="str">
        <f t="shared" ca="1" si="2"/>
        <v>CA</v>
      </c>
      <c r="T9" s="165" t="str">
        <f ca="1">IF(B9="","",IF(ISERROR(MATCH($J9,SorP!$B$1:$B$6261,0)),"",INDIRECT("'SorP'!$A$"&amp;MATCH($S9&amp;$J9,SorP!C:C,0))))</f>
        <v>CA-ON</v>
      </c>
      <c r="U9" s="185"/>
      <c r="V9" s="209">
        <f>IF(C9="",NA(),IF(OR(C9="Smelter not listed",C9="Smelter not yet identified"),MATCH($B9&amp;$D9,'Smelter Look-up'!$J:$J,0),MATCH($B9&amp;$C9,'Smelter Look-up'!$J:$J,0)))</f>
        <v>245</v>
      </c>
      <c r="X9" s="210">
        <f t="shared" si="3"/>
        <v>0</v>
      </c>
      <c r="AB9" s="211" t="str">
        <f t="shared" si="4"/>
        <v>GoldRoyal Canadian Mint</v>
      </c>
    </row>
    <row r="10" spans="1:34" s="210" customFormat="1" ht="20.100000000000001" customHeight="1">
      <c r="A10" s="245" t="s">
        <v>643</v>
      </c>
      <c r="B10" s="166" t="s">
        <v>1087</v>
      </c>
      <c r="C10" s="170" t="s">
        <v>2144</v>
      </c>
      <c r="D10" s="213"/>
      <c r="E10" s="166" t="s">
        <v>1055</v>
      </c>
      <c r="F10" s="166" t="s">
        <v>643</v>
      </c>
      <c r="G10" s="166" t="s">
        <v>12764</v>
      </c>
      <c r="H10" s="167">
        <v>0</v>
      </c>
      <c r="I10" s="168" t="s">
        <v>1514</v>
      </c>
      <c r="J10" s="168" t="s">
        <v>1515</v>
      </c>
      <c r="K10" s="207"/>
      <c r="L10" s="207"/>
      <c r="M10" s="207"/>
      <c r="N10" s="207"/>
      <c r="O10" s="207"/>
      <c r="P10" s="169"/>
      <c r="Q10" s="208"/>
      <c r="R10" s="166" t="str">
        <f ca="1">IF(ISERROR($V10),"",OFFSET('Smelter Look-up'!$C$4,$V10-4,0)&amp;"")</f>
        <v>Glencore Canada Corporation - CCR Refinery</v>
      </c>
      <c r="S10" s="165" t="str">
        <f t="shared" ca="1" si="2"/>
        <v>CA</v>
      </c>
      <c r="T10" s="165" t="str">
        <f ca="1">IF(B10="","",IF(ISERROR(MATCH($J10,SorP!$B$1:$B$6261,0)),"",INDIRECT("'SorP'!$A$"&amp;MATCH($S10&amp;$J10,SorP!C:C,0))))</f>
        <v>CA-QC</v>
      </c>
      <c r="U10" s="185"/>
      <c r="V10" s="209">
        <f>IF(C10="",NA(),IF(OR(C10="Smelter not listed",C10="Smelter not yet identified"),MATCH($B10&amp;$D10,'Smelter Look-up'!$J:$J,0),MATCH($B10&amp;$C10,'Smelter Look-up'!$J:$J,0)))</f>
        <v>57</v>
      </c>
      <c r="X10" s="210">
        <f t="shared" si="3"/>
        <v>0</v>
      </c>
      <c r="AB10" s="211" t="str">
        <f t="shared" si="4"/>
        <v>GoldCCR Refinery - Glencore Canada Corporation</v>
      </c>
    </row>
    <row r="11" spans="1:34" s="210" customFormat="1" ht="20.100000000000001" customHeight="1">
      <c r="A11" s="245" t="s">
        <v>743</v>
      </c>
      <c r="B11" s="166" t="s">
        <v>1088</v>
      </c>
      <c r="C11" s="170" t="s">
        <v>11981</v>
      </c>
      <c r="D11" s="213"/>
      <c r="E11" s="166" t="s">
        <v>1054</v>
      </c>
      <c r="F11" s="166" t="s">
        <v>743</v>
      </c>
      <c r="G11" s="166" t="s">
        <v>12764</v>
      </c>
      <c r="H11" s="167">
        <v>0</v>
      </c>
      <c r="I11" s="168" t="s">
        <v>15243</v>
      </c>
      <c r="J11" s="168" t="s">
        <v>1610</v>
      </c>
      <c r="K11" s="207"/>
      <c r="L11" s="207"/>
      <c r="M11" s="207"/>
      <c r="N11" s="207"/>
      <c r="O11" s="207"/>
      <c r="P11" s="169"/>
      <c r="Q11" s="208"/>
      <c r="R11" s="166" t="str">
        <f ca="1">IF(ISERROR($V11),"",OFFSET('Smelter Look-up'!$C$4,$V11-4,0)&amp;"")</f>
        <v>Mineracao Taboca S.A.</v>
      </c>
      <c r="S11" s="165" t="str">
        <f t="shared" ca="1" si="2"/>
        <v>BR</v>
      </c>
      <c r="T11" s="165" t="str">
        <f ca="1">IF(B11="","",IF(ISERROR(MATCH($J11,SorP!$B$1:$B$6261,0)),"",INDIRECT("'SorP'!$A$"&amp;MATCH($S11&amp;$J11,SorP!C:C,0))))</f>
        <v>BR-SP</v>
      </c>
      <c r="U11" s="185"/>
      <c r="V11" s="209">
        <f>IF(C11="",NA(),IF(OR(C11="Smelter not listed",C11="Smelter not yet identified"),MATCH($B11&amp;$D11,'Smelter Look-up'!$J:$J,0),MATCH($B11&amp;$C11,'Smelter Look-up'!$J:$J,0)))</f>
        <v>498</v>
      </c>
      <c r="X11" s="210">
        <f t="shared" si="3"/>
        <v>0</v>
      </c>
      <c r="AB11" s="211" t="str">
        <f t="shared" si="4"/>
        <v>TinMineracao Taboca S.A.</v>
      </c>
    </row>
    <row r="12" spans="1:34" s="210" customFormat="1" ht="20.100000000000001" customHeight="1">
      <c r="A12" s="245" t="s">
        <v>744</v>
      </c>
      <c r="B12" s="166" t="s">
        <v>1088</v>
      </c>
      <c r="C12" s="170" t="s">
        <v>992</v>
      </c>
      <c r="D12" s="213"/>
      <c r="E12" s="166" t="s">
        <v>840</v>
      </c>
      <c r="F12" s="166" t="s">
        <v>744</v>
      </c>
      <c r="G12" s="166" t="s">
        <v>12764</v>
      </c>
      <c r="H12" s="167">
        <v>0</v>
      </c>
      <c r="I12" s="168" t="s">
        <v>1702</v>
      </c>
      <c r="J12" s="168" t="s">
        <v>8699</v>
      </c>
      <c r="K12" s="207"/>
      <c r="L12" s="207"/>
      <c r="M12" s="207"/>
      <c r="N12" s="207"/>
      <c r="O12" s="207"/>
      <c r="P12" s="169"/>
      <c r="Q12" s="208"/>
      <c r="R12" s="166" t="str">
        <f ca="1">IF(ISERROR($V12),"",OFFSET('Smelter Look-up'!$C$4,$V12-4,0)&amp;"")</f>
        <v>Minsur</v>
      </c>
      <c r="S12" s="165" t="str">
        <f t="shared" ca="1" si="2"/>
        <v>PE</v>
      </c>
      <c r="T12" s="165" t="str">
        <f ca="1">IF(B12="","",IF(ISERROR(MATCH($J12,SorP!$B$1:$B$6261,0)),"",INDIRECT("'SorP'!$A$"&amp;MATCH($S12&amp;$J12,SorP!C:C,0))))</f>
        <v>PE-ICA</v>
      </c>
      <c r="U12" s="185"/>
      <c r="V12" s="209">
        <f>IF(C12="",NA(),IF(OR(C12="Smelter not listed",C12="Smelter not yet identified"),MATCH($B12&amp;$D12,'Smelter Look-up'!$J:$J,0),MATCH($B12&amp;$C12,'Smelter Look-up'!$J:$J,0)))</f>
        <v>503</v>
      </c>
      <c r="X12" s="210">
        <f t="shared" si="3"/>
        <v>0</v>
      </c>
      <c r="AB12" s="211" t="str">
        <f t="shared" si="4"/>
        <v>TinMinsur</v>
      </c>
    </row>
    <row r="13" spans="1:34" s="210" customFormat="1" ht="20.100000000000001" customHeight="1">
      <c r="A13" s="245" t="s">
        <v>748</v>
      </c>
      <c r="B13" s="166" t="s">
        <v>1088</v>
      </c>
      <c r="C13" s="170" t="s">
        <v>13290</v>
      </c>
      <c r="D13" s="213"/>
      <c r="E13" s="166" t="s">
        <v>2321</v>
      </c>
      <c r="F13" s="166" t="s">
        <v>748</v>
      </c>
      <c r="G13" s="166" t="s">
        <v>12764</v>
      </c>
      <c r="H13" s="167">
        <v>0</v>
      </c>
      <c r="I13" s="168" t="s">
        <v>1688</v>
      </c>
      <c r="J13" s="168" t="s">
        <v>1688</v>
      </c>
      <c r="K13" s="207"/>
      <c r="L13" s="207"/>
      <c r="M13" s="207"/>
      <c r="N13" s="207"/>
      <c r="O13" s="207"/>
      <c r="P13" s="169"/>
      <c r="Q13" s="208"/>
      <c r="R13" s="166" t="str">
        <f ca="1">IF(ISERROR($V13),"",OFFSET('Smelter Look-up'!$C$4,$V13-4,0)&amp;"")</f>
        <v>Operaciones Metalurgicas S.A.</v>
      </c>
      <c r="S13" s="165" t="str">
        <f t="shared" ca="1" si="2"/>
        <v>Unknown</v>
      </c>
      <c r="T13" s="165" t="e">
        <f ca="1">IF(B13="","",IF(ISERROR(MATCH($J13,SorP!$B$1:$B$6261,0)),"",INDIRECT("'SorP'!$A$"&amp;MATCH($S13&amp;$J13,SorP!C:C,0))))</f>
        <v>#N/A</v>
      </c>
      <c r="U13" s="185"/>
      <c r="V13" s="209">
        <f>IF(C13="",NA(),IF(OR(C13="Smelter not listed",C13="Smelter not yet identified"),MATCH($B13&amp;$D13,'Smelter Look-up'!$J:$J,0),MATCH($B13&amp;$C13,'Smelter Look-up'!$J:$J,0)))</f>
        <v>514</v>
      </c>
      <c r="X13" s="210">
        <f t="shared" si="3"/>
        <v>0</v>
      </c>
      <c r="AB13" s="211" t="str">
        <f t="shared" si="4"/>
        <v>TinOperaciones Metalurgicas S.A.</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DA0A3FA0-DFA5-4132-8BCA-B84A04591EA3}"/>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9" activePane="bottomRight" state="frozen"/>
      <selection activeCell="A4" sqref="A4"/>
      <selection pane="topRight" activeCell="A4" sqref="A4"/>
      <selection pane="bottomLeft" activeCell="A4" sqref="A4"/>
      <selection pane="bottomRight" activeCell="B57" sqref="B57"/>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MILL-MAX MFG. CORP.</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C.GALASSO</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CGALASSO@MILL-MAX.COM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(516) 922-6000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C.GALASSO</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C.GALASSO@MILL-MAX.COM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46265</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51">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www.mill-max.com</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using other format (describe)</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Chris Galasso</cp:lastModifiedBy>
  <cp:lastPrinted>2015-04-21T20:47:43Z</cp:lastPrinted>
  <dcterms:created xsi:type="dcterms:W3CDTF">2010-06-21T21:00:23Z</dcterms:created>
  <dcterms:modified xsi:type="dcterms:W3CDTF">2026-08-31T12:43:04Z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